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rcin\Documents\MODERNIZAČNÍ FOND\VÝZVY - Záměry\VÝZVY\RES+\"/>
    </mc:Choice>
  </mc:AlternateContent>
  <xr:revisionPtr revIDLastSave="0" documentId="13_ncr:1_{05212446-0B95-4192-B645-6A0C33F2C788}" xr6:coauthVersionLast="47" xr6:coauthVersionMax="47" xr10:uidLastSave="{00000000-0000-0000-0000-000000000000}"/>
  <workbookProtection workbookPassword="CC74" lockStructure="1"/>
  <bookViews>
    <workbookView xWindow="-120" yWindow="-120" windowWidth="29040" windowHeight="15840" xr2:uid="{00000000-000D-0000-FFFF-FFFF00000000}"/>
  </bookViews>
  <sheets>
    <sheet name="Velikost projektu" sheetId="7" r:id="rId1"/>
    <sheet name="DotaceMax do 1 MW" sheetId="1" r:id="rId2"/>
    <sheet name="JednDotMax nad 1 MW" sheetId="4" r:id="rId3"/>
    <sheet name="Graf do 1 MW" sheetId="5" state="hidden" r:id="rId4"/>
    <sheet name="Graf nad 1 MW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3" i="1"/>
  <c r="F19" i="1"/>
  <c r="J26" i="1"/>
  <c r="F17" i="1" s="1"/>
  <c r="H25" i="1"/>
  <c r="H26" i="1" s="1"/>
  <c r="D15" i="4" l="1"/>
  <c r="I22" i="4"/>
  <c r="D13" i="4" s="1"/>
  <c r="G21" i="4" l="1"/>
  <c r="G22" i="4" s="1"/>
  <c r="D11" i="4"/>
  <c r="D10" i="4"/>
  <c r="C7" i="4"/>
  <c r="C5" i="4"/>
  <c r="H5" i="4" s="1"/>
  <c r="C3" i="4"/>
  <c r="H7" i="4" l="1"/>
  <c r="B9" i="4"/>
  <c r="D5" i="4"/>
  <c r="C9" i="4"/>
  <c r="D7" i="4"/>
  <c r="H3" i="4"/>
  <c r="D3" i="4"/>
  <c r="B17" i="4" l="1"/>
  <c r="H8" i="4"/>
  <c r="E5" i="4"/>
  <c r="F5" i="4" s="1"/>
  <c r="E3" i="4"/>
  <c r="E7" i="4"/>
  <c r="F7" i="4" s="1"/>
  <c r="D8" i="4"/>
  <c r="D9" i="4"/>
  <c r="B13" i="4" l="1"/>
  <c r="B21" i="4" s="1"/>
  <c r="B15" i="4"/>
  <c r="H9" i="4"/>
  <c r="F3" i="4"/>
  <c r="F9" i="4" s="1"/>
  <c r="E9" i="4"/>
  <c r="D23" i="4" l="1"/>
  <c r="B23" i="4"/>
  <c r="G23" i="4"/>
  <c r="G24" i="4" s="1"/>
  <c r="C12" i="1" l="1"/>
  <c r="C13" i="1" s="1"/>
  <c r="B5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  <c r="K5" i="1" l="1"/>
  <c r="C21" i="1" l="1"/>
  <c r="K9" i="1"/>
  <c r="C9" i="1"/>
  <c r="C25" i="1" l="1"/>
  <c r="C14" i="1"/>
  <c r="C15" i="1" s="1"/>
</calcChain>
</file>

<file path=xl/sharedStrings.xml><?xml version="1.0" encoding="utf-8"?>
<sst xmlns="http://schemas.openxmlformats.org/spreadsheetml/2006/main" count="62" uniqueCount="33">
  <si>
    <t>výkon kW</t>
  </si>
  <si>
    <t>Jednotková dotace (Kč/kW)</t>
  </si>
  <si>
    <t>Stanovení maximální jednotkové dotace pro FVE nad 1 MWp</t>
  </si>
  <si>
    <t>Stanovení maximální dotace pro FVE do 1 MWp</t>
  </si>
  <si>
    <t>pozemní</t>
  </si>
  <si>
    <t>střešní</t>
  </si>
  <si>
    <t>podpora</t>
  </si>
  <si>
    <r>
      <t xml:space="preserve">Střešní instalace FVE - </t>
    </r>
    <r>
      <rPr>
        <i/>
        <sz val="11"/>
        <color theme="1"/>
        <rFont val="Calibri"/>
        <family val="2"/>
        <charset val="238"/>
        <scheme val="minor"/>
      </rPr>
      <t>doplňte výkon v kW</t>
    </r>
  </si>
  <si>
    <r>
      <t xml:space="preserve">Kapacita akumulace - </t>
    </r>
    <r>
      <rPr>
        <i/>
        <sz val="11"/>
        <color theme="1"/>
        <rFont val="Calibri"/>
        <family val="2"/>
        <charset val="238"/>
        <scheme val="minor"/>
      </rPr>
      <t>doplňte kapacitu v kWh</t>
    </r>
  </si>
  <si>
    <t xml:space="preserve">
NÁSTROJ PRO VÝPOČET MAXIMÁLNÍ VÝŠE DOTACE</t>
  </si>
  <si>
    <r>
      <t xml:space="preserve">Pozemní instalace FVE - </t>
    </r>
    <r>
      <rPr>
        <i/>
        <sz val="11"/>
        <rFont val="Calibri"/>
        <family val="2"/>
        <charset val="238"/>
        <scheme val="minor"/>
      </rPr>
      <t xml:space="preserve">doplňte výkon v kW </t>
    </r>
  </si>
  <si>
    <t>holý vzorec, který nehlídá omezení kapacity, výkon nad 1000 kW, ani logaritmus 0</t>
  </si>
  <si>
    <t>max dotace z parametrů zadaných žadatelem (hlídá poměr C ku P a Pmin, ale nehlídá GBER a 50% celkových výdajů)</t>
  </si>
  <si>
    <t>Max. dotace (Kč)</t>
  </si>
  <si>
    <t>Velikost podniku:</t>
  </si>
  <si>
    <t>Malý podnik</t>
  </si>
  <si>
    <t>Praha</t>
  </si>
  <si>
    <t>Místo realizace projektu:</t>
  </si>
  <si>
    <t>Střední podnik</t>
  </si>
  <si>
    <t>Ostatní regiony</t>
  </si>
  <si>
    <t>Velký podnik</t>
  </si>
  <si>
    <t>Maximální výše dotace při maximální jednotkové dotaci (Kč)</t>
  </si>
  <si>
    <t>zvolte velikost podniku</t>
  </si>
  <si>
    <t>zvolte místo realizace</t>
  </si>
  <si>
    <t>Maximální jednotková dotace zohledňující místo realizace a velikosti podniku [Kč/kWp]</t>
  </si>
  <si>
    <t>Výše dotace odpovídající zvolené jednotkové dotaci (Kč)</t>
  </si>
  <si>
    <t>odhad celkových nákladů investice</t>
  </si>
  <si>
    <t>Uveďte požadovanou výši jednotkové dotace [Kč/kWp]</t>
  </si>
  <si>
    <t>Maximální dotace dle technických parametrů FVE [Kč]</t>
  </si>
  <si>
    <t>odhad celkových nákladů investice v Kč</t>
  </si>
  <si>
    <t>Výše dotace zohledňující místo realizace a velikosti podniku [Kč]</t>
  </si>
  <si>
    <t>Maximální jednotková dotace dle technických parametrů FVE [Kč/kWp]</t>
  </si>
  <si>
    <t>Upravte hodnotu celkových investičních nákladů v Kč dle vašeho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</si>
</sst>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%"/>
    <numFmt numFmtId="166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165" fontId="0" fillId="0" borderId="1" xfId="0" applyNumberFormat="1" applyBorder="1"/>
    <xf numFmtId="1" fontId="0" fillId="0" borderId="0" xfId="0" applyNumberFormat="1"/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right" vertical="center" indent="1"/>
      <protection locked="0" hidden="1"/>
    </xf>
    <xf numFmtId="4" fontId="6" fillId="2" borderId="0" xfId="0" applyNumberFormat="1" applyFont="1" applyFill="1" applyAlignment="1" applyProtection="1">
      <alignment horizontal="left" vertical="center" indent="1"/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 indent="1"/>
      <protection hidden="1"/>
    </xf>
    <xf numFmtId="164" fontId="0" fillId="2" borderId="0" xfId="0" applyNumberFormat="1" applyFill="1" applyProtection="1">
      <protection hidden="1"/>
    </xf>
    <xf numFmtId="1" fontId="0" fillId="2" borderId="0" xfId="0" applyNumberFormat="1" applyFill="1" applyProtection="1"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0" fontId="4" fillId="2" borderId="0" xfId="0" applyFont="1" applyFill="1" applyAlignment="1" applyProtection="1"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4" fontId="9" fillId="2" borderId="0" xfId="0" applyNumberFormat="1" applyFont="1" applyFill="1" applyProtection="1">
      <protection hidden="1"/>
    </xf>
    <xf numFmtId="0" fontId="2" fillId="2" borderId="0" xfId="0" applyFont="1" applyFill="1" applyAlignment="1" applyProtection="1">
      <alignment horizontal="right" vertical="center" indent="2"/>
      <protection hidden="1"/>
    </xf>
    <xf numFmtId="0" fontId="0" fillId="2" borderId="0" xfId="0" applyFont="1" applyFill="1" applyAlignment="1" applyProtection="1">
      <alignment horizontal="right" vertical="center" indent="2"/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3" fontId="0" fillId="2" borderId="0" xfId="0" applyNumberFormat="1" applyFill="1" applyAlignment="1" applyProtection="1">
      <alignment horizontal="right" vertical="center" indent="1"/>
      <protection hidden="1"/>
    </xf>
    <xf numFmtId="0" fontId="0" fillId="2" borderId="0" xfId="0" applyFill="1" applyAlignment="1" applyProtection="1">
      <alignment horizontal="right" vertical="center" indent="1"/>
      <protection hidden="1"/>
    </xf>
    <xf numFmtId="3" fontId="8" fillId="3" borderId="0" xfId="0" applyNumberFormat="1" applyFont="1" applyFill="1" applyBorder="1" applyAlignment="1" applyProtection="1">
      <alignment horizontal="right" vertical="center" indent="1"/>
      <protection hidden="1"/>
    </xf>
    <xf numFmtId="166" fontId="0" fillId="2" borderId="0" xfId="0" applyNumberFormat="1" applyFill="1" applyBorder="1" applyProtection="1">
      <protection hidden="1"/>
    </xf>
    <xf numFmtId="0" fontId="0" fillId="2" borderId="0" xfId="0" applyFill="1" applyBorder="1" applyProtection="1">
      <protection hidden="1"/>
    </xf>
    <xf numFmtId="3" fontId="0" fillId="2" borderId="2" xfId="0" applyNumberFormat="1" applyFill="1" applyBorder="1" applyAlignment="1" applyProtection="1">
      <alignment horizontal="right" vertical="center" indent="1"/>
      <protection locked="0" hidden="1"/>
    </xf>
    <xf numFmtId="0" fontId="10" fillId="2" borderId="0" xfId="0" applyFont="1" applyFill="1" applyAlignment="1" applyProtection="1">
      <alignment horizontal="right" vertical="center" indent="2"/>
      <protection hidden="1"/>
    </xf>
    <xf numFmtId="3" fontId="11" fillId="2" borderId="0" xfId="0" applyNumberFormat="1" applyFont="1" applyFill="1" applyBorder="1" applyProtection="1">
      <protection hidden="1"/>
    </xf>
    <xf numFmtId="0" fontId="12" fillId="2" borderId="0" xfId="0" applyFont="1" applyFill="1" applyAlignment="1" applyProtection="1">
      <alignment horizontal="right" vertical="center" indent="2"/>
      <protection hidden="1"/>
    </xf>
    <xf numFmtId="3" fontId="11" fillId="2" borderId="0" xfId="0" applyNumberFormat="1" applyFont="1" applyFill="1" applyAlignment="1" applyProtection="1">
      <alignment horizontal="right" vertical="center" indent="1"/>
      <protection hidden="1"/>
    </xf>
    <xf numFmtId="0" fontId="9" fillId="2" borderId="0" xfId="0" applyFont="1" applyFill="1" applyProtection="1">
      <protection hidden="1"/>
    </xf>
    <xf numFmtId="1" fontId="9" fillId="2" borderId="0" xfId="0" applyNumberFormat="1" applyFont="1" applyFill="1" applyProtection="1">
      <protection hidden="1"/>
    </xf>
    <xf numFmtId="3" fontId="9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right" vertical="center" indent="2"/>
      <protection hidden="1"/>
    </xf>
    <xf numFmtId="0" fontId="9" fillId="2" borderId="0" xfId="0" applyFont="1" applyFill="1" applyBorder="1" applyProtection="1">
      <protection hidden="1"/>
    </xf>
    <xf numFmtId="3" fontId="9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alignment horizontal="right" vertical="center" indent="2"/>
      <protection hidden="1"/>
    </xf>
    <xf numFmtId="3" fontId="14" fillId="2" borderId="0" xfId="0" applyNumberFormat="1" applyFont="1" applyFill="1" applyAlignment="1" applyProtection="1">
      <alignment horizontal="right" vertical="center" indent="1"/>
      <protection hidden="1"/>
    </xf>
    <xf numFmtId="3" fontId="9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12" fillId="3" borderId="0" xfId="0" applyNumberFormat="1" applyFont="1" applyFill="1" applyBorder="1" applyAlignment="1" applyProtection="1">
      <alignment horizontal="right" vertical="center" indent="1"/>
      <protection hidden="1"/>
    </xf>
    <xf numFmtId="0" fontId="11" fillId="2" borderId="0" xfId="0" applyFont="1" applyFill="1" applyBorder="1" applyAlignment="1" applyProtection="1">
      <alignment horizontal="right" vertical="center" indent="1"/>
      <protection hidden="1"/>
    </xf>
    <xf numFmtId="3" fontId="12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9" fillId="0" borderId="0" xfId="0" applyFont="1" applyBorder="1" applyProtection="1">
      <protection hidden="1"/>
    </xf>
    <xf numFmtId="3" fontId="7" fillId="3" borderId="0" xfId="0" applyNumberFormat="1" applyFont="1" applyFill="1" applyBorder="1" applyAlignment="1" applyProtection="1">
      <alignment horizontal="right" vertical="center" indent="1"/>
      <protection hidden="1"/>
    </xf>
    <xf numFmtId="0" fontId="15" fillId="2" borderId="0" xfId="0" applyFont="1" applyFill="1" applyAlignment="1" applyProtection="1">
      <alignment horizontal="right" vertical="center" indent="1"/>
      <protection hidden="1"/>
    </xf>
    <xf numFmtId="3" fontId="12" fillId="4" borderId="0" xfId="0" applyNumberFormat="1" applyFont="1" applyFill="1" applyBorder="1" applyAlignment="1" applyProtection="1">
      <alignment horizontal="right" vertical="center" indent="1"/>
      <protection hidden="1"/>
    </xf>
    <xf numFmtId="0" fontId="9" fillId="0" borderId="0" xfId="0" applyFont="1" applyProtection="1">
      <protection hidden="1"/>
    </xf>
    <xf numFmtId="0" fontId="9" fillId="2" borderId="0" xfId="0" applyFont="1" applyFill="1"/>
    <xf numFmtId="0" fontId="9" fillId="0" borderId="0" xfId="0" applyFont="1"/>
    <xf numFmtId="0" fontId="17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right" vertical="center" indent="1"/>
      <protection locked="0" hidden="1"/>
    </xf>
    <xf numFmtId="0" fontId="13" fillId="2" borderId="0" xfId="0" applyFont="1" applyFill="1" applyAlignment="1" applyProtection="1">
      <alignment horizontal="right" vertical="center" indent="1"/>
      <protection hidden="1"/>
    </xf>
    <xf numFmtId="4" fontId="10" fillId="2" borderId="0" xfId="0" applyNumberFormat="1" applyFont="1" applyFill="1" applyAlignment="1" applyProtection="1">
      <alignment horizontal="left" vertical="center" indent="1"/>
      <protection hidden="1"/>
    </xf>
    <xf numFmtId="3" fontId="1" fillId="2" borderId="0" xfId="0" applyNumberFormat="1" applyFont="1" applyFill="1" applyProtection="1">
      <protection hidden="1"/>
    </xf>
    <xf numFmtId="3" fontId="8" fillId="3" borderId="0" xfId="0" applyNumberFormat="1" applyFont="1" applyFill="1" applyAlignment="1" applyProtection="1">
      <alignment horizontal="right" vertical="center" indent="1"/>
      <protection hidden="1"/>
    </xf>
    <xf numFmtId="1" fontId="1" fillId="2" borderId="0" xfId="0" applyNumberFormat="1" applyFont="1" applyFill="1" applyProtection="1">
      <protection hidden="1"/>
    </xf>
    <xf numFmtId="0" fontId="18" fillId="2" borderId="0" xfId="0" applyFont="1" applyFill="1" applyAlignment="1" applyProtection="1">
      <alignment horizontal="right" vertical="center" indent="2"/>
      <protection hidden="1"/>
    </xf>
    <xf numFmtId="3" fontId="1" fillId="2" borderId="0" xfId="0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0" borderId="0" xfId="0" applyFont="1"/>
    <xf numFmtId="0" fontId="16" fillId="2" borderId="0" xfId="0" applyFont="1" applyFill="1" applyProtection="1">
      <protection hidden="1"/>
    </xf>
    <xf numFmtId="3" fontId="19" fillId="2" borderId="0" xfId="0" applyNumberFormat="1" applyFont="1" applyFill="1" applyBorder="1" applyAlignment="1" applyProtection="1">
      <alignment horizontal="right" vertical="center" indent="1"/>
      <protection locked="0" hidden="1"/>
    </xf>
    <xf numFmtId="0" fontId="19" fillId="2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0" fillId="2" borderId="0" xfId="0" applyFont="1" applyFill="1" applyProtection="1">
      <protection hidden="1"/>
    </xf>
    <xf numFmtId="166" fontId="1" fillId="2" borderId="0" xfId="0" applyNumberFormat="1" applyFont="1" applyFill="1" applyProtection="1">
      <protection hidden="1"/>
    </xf>
    <xf numFmtId="166" fontId="1" fillId="2" borderId="0" xfId="0" applyNumberFormat="1" applyFont="1" applyFill="1" applyBorder="1" applyProtection="1">
      <protection hidden="1"/>
    </xf>
    <xf numFmtId="3" fontId="16" fillId="2" borderId="0" xfId="0" applyNumberFormat="1" applyFont="1" applyFill="1" applyBorder="1" applyProtection="1">
      <protection hidden="1"/>
    </xf>
    <xf numFmtId="3" fontId="16" fillId="2" borderId="0" xfId="0" applyNumberFormat="1" applyFont="1" applyFill="1" applyProtection="1">
      <protection hidden="1"/>
    </xf>
    <xf numFmtId="165" fontId="1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7" fillId="2" borderId="0" xfId="0" applyFont="1" applyFill="1" applyAlignment="1" applyProtection="1">
      <alignment horizontal="right" wrapText="1" indent="1"/>
      <protection hidden="1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/>
    <xf numFmtId="0" fontId="1" fillId="2" borderId="0" xfId="0" applyFont="1" applyFill="1" applyProtection="1"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8-46BC-8A15-BC2568417504}"/>
              </c:ext>
            </c:extLst>
          </c:dPt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9-41C4-B55B-7FE007082D43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09-41C4-B55B-7FE007082D43}"/>
            </c:ext>
          </c:extLst>
        </c:ser>
        <c:ser>
          <c:idx val="2"/>
          <c:order val="2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FF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09-41C4-B55B-7FE007082D43}"/>
              </c:ext>
            </c:extLst>
          </c:dPt>
          <c:xVal>
            <c:numRef>
              <c:f>'DotaceMax do 1 MW'!$C$12:$C$13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'DotaceMax do 1 MW'!$B$12:$B$13</c:f>
              <c:numCache>
                <c:formatCode>General</c:formatCode>
                <c:ptCount val="2"/>
                <c:pt idx="0">
                  <c:v>6500</c:v>
                </c:pt>
                <c:pt idx="1">
                  <c:v>10500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09-41C4-B55B-7FE007082D43}"/>
            </c:ext>
          </c:extLst>
        </c:ser>
        <c:ser>
          <c:idx val="3"/>
          <c:order val="3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FF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409-41C4-B55B-7FE007082D43}"/>
              </c:ext>
            </c:extLst>
          </c:dPt>
          <c:xVal>
            <c:numRef>
              <c:f>'DotaceMax do 1 MW'!$B$14:$B$15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'DotaceMax do 1 MW'!$C$14:$C$15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09-41C4-B55B-7FE00708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ax val="10500"/>
          <c:min val="6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516802725358552"/>
          <c:y val="0.29342633397831164"/>
          <c:w val="0.2222231638085598"/>
          <c:h val="0.100447108069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961816654108"/>
          <c:y val="4.5115948741701405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0F-4A2D-A087-B11CBE42957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0F-4A2D-A087-B11CBE429570}"/>
              </c:ext>
            </c:extLst>
          </c:dPt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BE-4BDF-83C9-77E168F0E2AD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BE-4BDF-83C9-77E168F0E2AD}"/>
            </c:ext>
          </c:extLst>
        </c:ser>
        <c:ser>
          <c:idx val="2"/>
          <c:order val="2"/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'JednDotMax nad 1 MW'!$G$21:$G$22</c:f>
              <c:numCache>
                <c:formatCode>0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xVal>
          <c:yVal>
            <c:numRef>
              <c:f>'JednDotMax nad 1 MW'!$F$21:$F$22</c:f>
              <c:numCache>
                <c:formatCode>General</c:formatCode>
                <c:ptCount val="2"/>
                <c:pt idx="0">
                  <c:v>7500</c:v>
                </c:pt>
                <c:pt idx="1">
                  <c:v>6200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BE-4BDF-83C9-77E168F0E2AD}"/>
            </c:ext>
          </c:extLst>
        </c:ser>
        <c:ser>
          <c:idx val="3"/>
          <c:order val="3"/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'JednDotMax nad 1 MW'!$F$23:$F$24</c:f>
              <c:numCache>
                <c:formatCode>General</c:formatCode>
                <c:ptCount val="2"/>
                <c:pt idx="0">
                  <c:v>0</c:v>
                </c:pt>
                <c:pt idx="1">
                  <c:v>100000</c:v>
                </c:pt>
              </c:numCache>
            </c:numRef>
          </c:xVal>
          <c:yVal>
            <c:numRef>
              <c:f>'JednDotMax nad 1 MW'!$G$23:$G$24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BE-4BDF-83C9-77E168F0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ax val="7500"/>
          <c:min val="6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9735278721422567"/>
          <c:y val="0.27820321729856762"/>
          <c:w val="0.20337523473040561"/>
          <c:h val="0.1555971926866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K$16" fmlaRange="$J$16:$J$18" noThreeD="1" sel="1" val="0"/>
</file>

<file path=xl/ctrlProps/ctrlProp2.xml><?xml version="1.0" encoding="utf-8"?>
<formControlPr xmlns="http://schemas.microsoft.com/office/spreadsheetml/2009/9/main" objectType="Drop" dropLines="2" dropStyle="combo" dx="16" fmlaLink="$K$20" fmlaRange="$J$20:$J$21" noThreeD="1" sel="1" val="0"/>
</file>

<file path=xl/ctrlProps/ctrlProp3.xml><?xml version="1.0" encoding="utf-8"?>
<formControlPr xmlns="http://schemas.microsoft.com/office/spreadsheetml/2009/9/main" objectType="Drop" dropLines="3" dropStyle="combo" dx="16" fmlaLink="$J$12" fmlaRange="$I$12:$I$14" noThreeD="1" sel="1" val="0"/>
</file>

<file path=xl/ctrlProps/ctrlProp4.xml><?xml version="1.0" encoding="utf-8"?>
<formControlPr xmlns="http://schemas.microsoft.com/office/spreadsheetml/2009/9/main" objectType="Drop" dropLines="2" dropStyle="combo" dx="16" fmlaLink="$J$16" fmlaRange="$I$16:$I$17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JednDotMax nad 1 MW'!A1"/><Relationship Id="rId1" Type="http://schemas.openxmlformats.org/officeDocument/2006/relationships/hyperlink" Target="#'DotaceMax do 1 MW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Velikost projektu'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Velikost projektu'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809625</xdr:rowOff>
    </xdr:from>
    <xdr:to>
      <xdr:col>0</xdr:col>
      <xdr:colOff>4543425</xdr:colOff>
      <xdr:row>0</xdr:row>
      <xdr:rowOff>1114425</xdr:rowOff>
    </xdr:to>
    <xdr:sp macro="" textlink="">
      <xdr:nvSpPr>
        <xdr:cNvPr id="2" name="Zkosené hran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2525" y="809625"/>
          <a:ext cx="3390900" cy="304800"/>
        </a:xfrm>
        <a:prstGeom prst="bevel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>
              <a:solidFill>
                <a:sysClr val="windowText" lastClr="000000"/>
              </a:solidFill>
            </a:rPr>
            <a:t>Instalace FVE s výkonem do 1MW</a:t>
          </a:r>
          <a:r>
            <a:rPr lang="cs-CZ" sz="1100">
              <a:solidFill>
                <a:sysClr val="windowText" lastClr="000000"/>
              </a:solidFill>
            </a:rPr>
            <a:t> (</a:t>
          </a:r>
          <a:r>
            <a:rPr lang="cs-CZ" sz="1100" i="1">
              <a:solidFill>
                <a:sysClr val="windowText" lastClr="000000"/>
              </a:solidFill>
            </a:rPr>
            <a:t>včetně</a:t>
          </a:r>
          <a:r>
            <a:rPr lang="cs-CZ" sz="11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0</xdr:col>
      <xdr:colOff>1152525</xdr:colOff>
      <xdr:row>0</xdr:row>
      <xdr:rowOff>1457325</xdr:rowOff>
    </xdr:from>
    <xdr:to>
      <xdr:col>0</xdr:col>
      <xdr:colOff>4543425</xdr:colOff>
      <xdr:row>0</xdr:row>
      <xdr:rowOff>1762125</xdr:rowOff>
    </xdr:to>
    <xdr:sp macro="" textlink="">
      <xdr:nvSpPr>
        <xdr:cNvPr id="5" name="Zkosené hrany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52525" y="1457325"/>
          <a:ext cx="3390900" cy="304800"/>
        </a:xfrm>
        <a:prstGeom prst="bevel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>
              <a:solidFill>
                <a:sysClr val="windowText" lastClr="000000"/>
              </a:solidFill>
            </a:rPr>
            <a:t>Instalace FVE s výkonem nad 1MW</a:t>
          </a:r>
          <a:endParaRPr lang="cs-CZ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0</xdr:row>
      <xdr:rowOff>133349</xdr:rowOff>
    </xdr:from>
    <xdr:to>
      <xdr:col>10</xdr:col>
      <xdr:colOff>742949</xdr:colOff>
      <xdr:row>18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2552700</xdr:colOff>
      <xdr:row>1</xdr:row>
      <xdr:rowOff>19050</xdr:rowOff>
    </xdr:to>
    <xdr:sp macro="" textlink="">
      <xdr:nvSpPr>
        <xdr:cNvPr id="6" name="Zkosené hrany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2552700" cy="304800"/>
        </a:xfrm>
        <a:prstGeom prst="bevel">
          <a:avLst/>
        </a:prstGeom>
        <a:solidFill>
          <a:sysClr val="window" lastClr="FFFFFF">
            <a:lumMod val="8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◄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ZPĚT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47625</xdr:rowOff>
        </xdr:from>
        <xdr:to>
          <xdr:col>2</xdr:col>
          <xdr:colOff>1533525</xdr:colOff>
          <xdr:row>17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18</xdr:row>
          <xdr:rowOff>19050</xdr:rowOff>
        </xdr:from>
        <xdr:to>
          <xdr:col>2</xdr:col>
          <xdr:colOff>1533525</xdr:colOff>
          <xdr:row>18</xdr:row>
          <xdr:rowOff>238125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0</xdr:row>
      <xdr:rowOff>104775</xdr:rowOff>
    </xdr:from>
    <xdr:to>
      <xdr:col>9</xdr:col>
      <xdr:colOff>295275</xdr:colOff>
      <xdr:row>14</xdr:row>
      <xdr:rowOff>257175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2614041</xdr:colOff>
      <xdr:row>1</xdr:row>
      <xdr:rowOff>28575</xdr:rowOff>
    </xdr:to>
    <xdr:sp macro="" textlink="">
      <xdr:nvSpPr>
        <xdr:cNvPr id="4" name="Zkosené hrany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19050"/>
          <a:ext cx="2614041" cy="276225"/>
        </a:xfrm>
        <a:prstGeom prst="bevel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◄</a:t>
          </a:r>
          <a:r>
            <a:rPr lang="cs-CZ" sz="1100" b="1">
              <a:solidFill>
                <a:sysClr val="windowText" lastClr="000000"/>
              </a:solidFill>
            </a:rPr>
            <a:t> </a:t>
          </a:r>
          <a:r>
            <a:rPr lang="cs-CZ" sz="1000" b="1">
              <a:solidFill>
                <a:sysClr val="windowText" lastClr="000000"/>
              </a:solidFill>
            </a:rPr>
            <a:t>ZPĚT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2</xdr:col>
          <xdr:colOff>161925</xdr:colOff>
          <xdr:row>13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28575</xdr:rowOff>
        </xdr:from>
        <xdr:to>
          <xdr:col>2</xdr:col>
          <xdr:colOff>161925</xdr:colOff>
          <xdr:row>14</xdr:row>
          <xdr:rowOff>247650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B1"/>
  <sheetViews>
    <sheetView showGridLines="0" showRowColHeaders="0" tabSelected="1" workbookViewId="0"/>
  </sheetViews>
  <sheetFormatPr defaultColWidth="0" defaultRowHeight="15" zeroHeight="1" x14ac:dyDescent="0.25"/>
  <cols>
    <col min="1" max="1" width="89" customWidth="1"/>
    <col min="2" max="2" width="0" hidden="1" customWidth="1"/>
    <col min="3" max="16384" width="9.140625" hidden="1"/>
  </cols>
  <sheetData>
    <row r="1" spans="1:1" ht="187.5" customHeight="1" x14ac:dyDescent="0.25">
      <c r="A1" s="19" t="s">
        <v>9</v>
      </c>
    </row>
  </sheetData>
  <sheetProtection algorithmName="SHA-512" hashValue="pyRtMVXr9+fimEDC4ehpUiuzpqd0TkCd5SOPeBe7yhl+bEtsNhbxuvoPEpWkEVvuRddrdRZbLhiGrHj3DmN4QA==" saltValue="zFIztpMwascVOdANZhjy/Q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S33"/>
  <sheetViews>
    <sheetView showGridLines="0" workbookViewId="0">
      <selection activeCell="C3" sqref="C3"/>
    </sheetView>
  </sheetViews>
  <sheetFormatPr defaultColWidth="0" defaultRowHeight="15" zeroHeight="1" x14ac:dyDescent="0.25"/>
  <cols>
    <col min="1" max="1" width="40" style="58" customWidth="1"/>
    <col min="2" max="2" width="31.85546875" style="58" customWidth="1"/>
    <col min="3" max="3" width="23.7109375" style="58" customWidth="1"/>
    <col min="4" max="11" width="12.7109375" style="58" customWidth="1"/>
    <col min="12" max="12" width="18" hidden="1" customWidth="1"/>
    <col min="13" max="16384" width="9.140625" hidden="1"/>
  </cols>
  <sheetData>
    <row r="1" spans="1:19" ht="25.5" customHeight="1" x14ac:dyDescent="0.3">
      <c r="A1"/>
      <c r="B1" s="81" t="s">
        <v>3</v>
      </c>
      <c r="C1" s="82"/>
      <c r="D1" s="59"/>
      <c r="E1" s="59"/>
      <c r="F1" s="59"/>
      <c r="G1" s="59"/>
      <c r="H1" s="59"/>
      <c r="I1" s="59"/>
      <c r="J1" s="59"/>
      <c r="K1" s="42"/>
      <c r="L1" s="18"/>
      <c r="M1" s="18"/>
    </row>
    <row r="2" spans="1:19" ht="15.75" thickBot="1" x14ac:dyDescent="0.3">
      <c r="A2" s="8"/>
      <c r="B2" s="8"/>
      <c r="C2" s="8"/>
      <c r="D2" s="38"/>
      <c r="E2" s="38"/>
      <c r="F2" s="38"/>
      <c r="G2" s="38"/>
      <c r="H2" s="38"/>
      <c r="I2" s="38"/>
      <c r="J2" s="38"/>
      <c r="K2" s="8"/>
      <c r="L2" s="8"/>
      <c r="M2" s="8"/>
    </row>
    <row r="3" spans="1:19" s="7" customFormat="1" ht="21" customHeight="1" thickBot="1" x14ac:dyDescent="0.3">
      <c r="B3" s="16" t="s">
        <v>10</v>
      </c>
      <c r="C3" s="10">
        <v>0</v>
      </c>
      <c r="D3" s="60"/>
      <c r="E3" s="60"/>
      <c r="F3" s="60"/>
      <c r="G3" s="60"/>
      <c r="H3" s="60"/>
      <c r="I3" s="60"/>
      <c r="J3" s="60"/>
      <c r="K3" s="11">
        <f>IF(C3=0,0,C3*(-814*LN(C3)+25417))</f>
        <v>0</v>
      </c>
      <c r="L3" s="12"/>
      <c r="M3" s="12"/>
    </row>
    <row r="4" spans="1:19" ht="16.5" thickBot="1" x14ac:dyDescent="0.3">
      <c r="B4" s="9"/>
      <c r="C4" s="13"/>
      <c r="D4" s="61"/>
      <c r="E4" s="61"/>
      <c r="F4" s="61"/>
      <c r="G4" s="61"/>
      <c r="H4" s="61"/>
      <c r="I4" s="61"/>
      <c r="J4" s="61"/>
      <c r="K4" s="11"/>
      <c r="L4" s="8"/>
      <c r="M4" s="8"/>
    </row>
    <row r="5" spans="1:19" ht="21" customHeight="1" thickBot="1" x14ac:dyDescent="0.3">
      <c r="B5" s="16" t="s">
        <v>7</v>
      </c>
      <c r="C5" s="10">
        <v>0</v>
      </c>
      <c r="D5" s="60"/>
      <c r="E5" s="60"/>
      <c r="F5" s="60"/>
      <c r="G5" s="60"/>
      <c r="H5" s="60"/>
      <c r="I5" s="60"/>
      <c r="J5" s="60"/>
      <c r="K5" s="11">
        <f>IF(C5=0,0,C5*(-1092*LN(C5)+28657))</f>
        <v>0</v>
      </c>
      <c r="L5" s="8"/>
      <c r="M5" s="8"/>
    </row>
    <row r="6" spans="1:19" ht="16.5" thickBot="1" x14ac:dyDescent="0.3">
      <c r="B6" s="9"/>
      <c r="C6" s="13"/>
      <c r="D6" s="61"/>
      <c r="E6" s="61"/>
      <c r="F6" s="61"/>
      <c r="G6" s="61"/>
      <c r="H6" s="61"/>
      <c r="I6" s="61"/>
      <c r="J6" s="61"/>
      <c r="K6" s="11"/>
      <c r="L6" s="8"/>
      <c r="M6" s="8"/>
    </row>
    <row r="7" spans="1:19" ht="21.75" customHeight="1" thickBot="1" x14ac:dyDescent="0.3">
      <c r="B7" s="16" t="s">
        <v>8</v>
      </c>
      <c r="C7" s="10">
        <v>0</v>
      </c>
      <c r="D7" s="60"/>
      <c r="E7" s="60"/>
      <c r="F7" s="60"/>
      <c r="G7" s="60"/>
      <c r="H7" s="60"/>
      <c r="I7" s="60"/>
      <c r="J7" s="60"/>
      <c r="K7" s="11">
        <f>IF(OR(C7&lt;0.2*(C3+C5),(C3+C5)=0),0,IF(AND(C7&gt;=0.2*(C3+C5),C7&lt;=(C3+C5)),C7*(-629.7*LN(C7)+25100),(C3+C5)*(-629.7*LN(C3+C5)+25100)))</f>
        <v>0</v>
      </c>
      <c r="L7" s="8"/>
      <c r="M7" s="8"/>
    </row>
    <row r="8" spans="1:19" ht="15.75" x14ac:dyDescent="0.25">
      <c r="B8" s="9"/>
      <c r="C8" s="13"/>
      <c r="D8" s="61"/>
      <c r="E8" s="61"/>
      <c r="F8" s="61"/>
      <c r="G8" s="61"/>
      <c r="H8" s="61"/>
      <c r="I8" s="61"/>
      <c r="J8" s="61"/>
      <c r="K8" s="11"/>
      <c r="L8" s="14"/>
      <c r="M8" s="8"/>
    </row>
    <row r="9" spans="1:19" ht="21" customHeight="1" x14ac:dyDescent="0.25">
      <c r="B9" s="17" t="s">
        <v>28</v>
      </c>
      <c r="C9" s="64">
        <f>IF((C3+C5)&lt;=1000,0.35*(K3+K5)+0.5*K7,"PŘEKROČEN LIMIT 1 MW")</f>
        <v>0</v>
      </c>
      <c r="D9" s="62"/>
      <c r="E9" s="62"/>
      <c r="F9" s="62"/>
      <c r="G9" s="62"/>
      <c r="H9" s="62"/>
      <c r="I9" s="62"/>
      <c r="J9" s="62"/>
      <c r="K9" s="63">
        <f>SUM(K2:K7)</f>
        <v>0</v>
      </c>
      <c r="L9" s="8"/>
      <c r="M9" s="8"/>
    </row>
    <row r="10" spans="1:19" x14ac:dyDescent="0.25">
      <c r="B10" s="8"/>
      <c r="C10" s="8"/>
      <c r="D10" s="38"/>
      <c r="E10" s="38"/>
      <c r="F10" s="38"/>
      <c r="G10" s="38"/>
      <c r="H10" s="38"/>
      <c r="I10" s="38"/>
      <c r="J10" s="38"/>
      <c r="L10" s="8"/>
      <c r="M10" s="8"/>
    </row>
    <row r="11" spans="1:19" x14ac:dyDescent="0.25">
      <c r="B11" s="8"/>
      <c r="C11" s="8"/>
      <c r="D11" s="38"/>
      <c r="E11" s="38"/>
      <c r="F11" s="38"/>
      <c r="G11" s="38"/>
      <c r="H11" s="38"/>
      <c r="I11" s="38"/>
      <c r="J11" s="38"/>
      <c r="L11" s="8"/>
      <c r="M11" s="8"/>
    </row>
    <row r="12" spans="1:19" x14ac:dyDescent="0.25">
      <c r="B12" s="25">
        <v>6500</v>
      </c>
      <c r="C12" s="25">
        <f>C3+C5</f>
        <v>0</v>
      </c>
      <c r="D12" s="25"/>
      <c r="E12" s="38"/>
      <c r="F12" s="38"/>
      <c r="G12" s="38"/>
      <c r="H12" s="38"/>
      <c r="I12" s="38"/>
      <c r="J12" s="38"/>
      <c r="K12" s="8"/>
      <c r="L12" s="8"/>
      <c r="M12" s="8"/>
      <c r="O12">
        <v>1</v>
      </c>
    </row>
    <row r="13" spans="1:19" x14ac:dyDescent="0.25">
      <c r="B13" s="25">
        <v>10500</v>
      </c>
      <c r="C13" s="65">
        <f>C12</f>
        <v>0</v>
      </c>
      <c r="D13" s="65"/>
      <c r="E13" s="39"/>
      <c r="F13" s="39"/>
      <c r="G13" s="39"/>
      <c r="H13" s="39"/>
      <c r="I13" s="39"/>
      <c r="J13" s="39"/>
      <c r="K13" s="8"/>
      <c r="L13" s="8"/>
      <c r="M13" s="8"/>
    </row>
    <row r="14" spans="1:19" x14ac:dyDescent="0.25">
      <c r="B14" s="25">
        <v>0</v>
      </c>
      <c r="C14" s="65" t="e">
        <f>C9/(C3+C5)</f>
        <v>#DIV/0!</v>
      </c>
      <c r="D14" s="65"/>
      <c r="E14" s="15"/>
      <c r="F14" s="15"/>
      <c r="G14" s="15"/>
      <c r="H14" s="15"/>
      <c r="I14" s="15"/>
      <c r="J14" s="15"/>
      <c r="K14" s="8"/>
      <c r="L14" s="8"/>
      <c r="M14" s="8"/>
    </row>
    <row r="15" spans="1:19" x14ac:dyDescent="0.25">
      <c r="B15" s="25">
        <v>1000</v>
      </c>
      <c r="C15" s="65" t="e">
        <f>C14</f>
        <v>#DIV/0!</v>
      </c>
      <c r="D15" s="65"/>
      <c r="E15" s="65"/>
      <c r="F15" s="65"/>
      <c r="G15" s="65"/>
      <c r="H15" s="65"/>
      <c r="I15" s="65"/>
      <c r="J15" s="65"/>
      <c r="K15" s="25"/>
      <c r="L15" s="8"/>
      <c r="M15" s="8"/>
    </row>
    <row r="16" spans="1:19" ht="21" customHeight="1" x14ac:dyDescent="0.25">
      <c r="B16" s="66"/>
      <c r="C16" s="67"/>
      <c r="D16" s="68"/>
      <c r="E16" s="69"/>
      <c r="F16" s="68" t="s">
        <v>13</v>
      </c>
      <c r="G16" s="63"/>
      <c r="H16" s="25"/>
      <c r="I16" s="70" t="s">
        <v>14</v>
      </c>
      <c r="J16" s="87" t="s">
        <v>15</v>
      </c>
      <c r="K16" s="87">
        <v>1</v>
      </c>
      <c r="L16" s="25"/>
      <c r="M16" s="25"/>
      <c r="N16" s="25"/>
      <c r="O16" s="27"/>
      <c r="P16" s="27"/>
      <c r="Q16" s="27"/>
      <c r="R16" s="27"/>
      <c r="S16" s="27"/>
    </row>
    <row r="17" spans="1:19" ht="21" customHeight="1" x14ac:dyDescent="0.25">
      <c r="B17" s="43" t="s">
        <v>22</v>
      </c>
      <c r="D17" s="44"/>
      <c r="E17" s="69"/>
      <c r="F17" s="67">
        <f>IF((C3+C5)&gt;1000,"PŘEKROČEN LIMIT 1 MW",IF(C23&lt;(C3+C5)*1249.1,0,J26/100*(C23-(C3+C5)*1249.1)))</f>
        <v>0</v>
      </c>
      <c r="G17" s="63"/>
      <c r="H17" s="25"/>
      <c r="I17" s="25"/>
      <c r="J17" s="87" t="s">
        <v>18</v>
      </c>
      <c r="K17" s="87"/>
      <c r="L17" s="25"/>
      <c r="M17" s="25"/>
      <c r="N17" s="25"/>
      <c r="O17" s="27"/>
      <c r="P17" s="27"/>
      <c r="Q17" s="27"/>
      <c r="R17" s="27"/>
      <c r="S17" s="27"/>
    </row>
    <row r="18" spans="1:19" ht="21" customHeight="1" x14ac:dyDescent="0.25">
      <c r="B18" s="43"/>
      <c r="C18" s="45"/>
      <c r="D18" s="44"/>
      <c r="E18" s="67"/>
      <c r="F18" s="68"/>
      <c r="G18" s="68"/>
      <c r="H18" s="25"/>
      <c r="I18" s="25"/>
      <c r="J18" s="87" t="s">
        <v>20</v>
      </c>
      <c r="K18" s="87"/>
      <c r="L18" s="25"/>
      <c r="M18" s="25" t="s">
        <v>15</v>
      </c>
      <c r="N18" s="25">
        <v>7</v>
      </c>
      <c r="O18" s="27" t="s">
        <v>16</v>
      </c>
      <c r="P18" s="27">
        <v>1</v>
      </c>
      <c r="Q18" s="27"/>
      <c r="R18" s="27"/>
      <c r="S18" s="27"/>
    </row>
    <row r="19" spans="1:19" ht="21" customHeight="1" x14ac:dyDescent="0.25">
      <c r="B19" s="43" t="s">
        <v>23</v>
      </c>
      <c r="D19" s="44"/>
      <c r="E19" s="69"/>
      <c r="F19" s="67">
        <f>0.5*C23</f>
        <v>0</v>
      </c>
      <c r="G19" s="68"/>
      <c r="H19" s="25"/>
      <c r="I19" s="70" t="s">
        <v>17</v>
      </c>
      <c r="J19" s="87"/>
      <c r="K19" s="87"/>
      <c r="L19" s="25"/>
      <c r="M19" s="25" t="s">
        <v>18</v>
      </c>
      <c r="N19" s="25"/>
      <c r="O19" s="27" t="s">
        <v>19</v>
      </c>
      <c r="P19" s="27"/>
      <c r="Q19" s="27"/>
      <c r="R19" s="27"/>
      <c r="S19" s="27"/>
    </row>
    <row r="20" spans="1:19" ht="21" customHeight="1" x14ac:dyDescent="0.25">
      <c r="B20" s="43"/>
      <c r="C20" s="45"/>
      <c r="D20" s="44"/>
      <c r="E20" s="67"/>
      <c r="F20" s="63"/>
      <c r="G20" s="68"/>
      <c r="H20" s="25"/>
      <c r="I20" s="70"/>
      <c r="J20" s="87" t="s">
        <v>16</v>
      </c>
      <c r="K20" s="87">
        <v>1</v>
      </c>
      <c r="L20" s="25"/>
      <c r="M20" s="25"/>
      <c r="N20" s="25"/>
      <c r="O20" s="27"/>
      <c r="P20" s="27"/>
      <c r="Q20" s="27"/>
      <c r="R20" s="27"/>
      <c r="S20" s="27"/>
    </row>
    <row r="21" spans="1:19" ht="21" customHeight="1" x14ac:dyDescent="0.25">
      <c r="B21" s="46" t="s">
        <v>29</v>
      </c>
      <c r="C21" s="47">
        <f>SUM($K$3:$K$7)</f>
        <v>0</v>
      </c>
      <c r="D21" s="44"/>
      <c r="E21" s="67"/>
      <c r="F21" s="63"/>
      <c r="G21" s="68"/>
      <c r="H21" s="25"/>
      <c r="I21" s="70"/>
      <c r="J21" s="87" t="s">
        <v>19</v>
      </c>
      <c r="K21" s="87"/>
      <c r="L21" s="25"/>
      <c r="M21" s="25"/>
      <c r="N21" s="25"/>
      <c r="O21" s="27"/>
      <c r="P21" s="27"/>
      <c r="Q21" s="27"/>
      <c r="R21" s="27"/>
      <c r="S21" s="27"/>
    </row>
    <row r="22" spans="1:19" ht="21" customHeight="1" thickBot="1" x14ac:dyDescent="0.3">
      <c r="B22" s="46"/>
      <c r="C22" s="47"/>
      <c r="D22" s="44"/>
      <c r="E22" s="67"/>
      <c r="F22" s="63"/>
      <c r="G22" s="68"/>
      <c r="H22" s="25"/>
      <c r="I22" s="70"/>
      <c r="J22" s="25"/>
      <c r="K22" s="25"/>
      <c r="L22" s="25"/>
      <c r="M22" s="25"/>
      <c r="N22" s="25"/>
      <c r="O22" s="27"/>
      <c r="P22" s="27"/>
      <c r="Q22" s="27"/>
      <c r="R22" s="27"/>
      <c r="S22" s="27"/>
    </row>
    <row r="23" spans="1:19" ht="21" customHeight="1" thickBot="1" x14ac:dyDescent="0.3">
      <c r="B23" s="43" t="s">
        <v>32</v>
      </c>
      <c r="C23" s="48"/>
      <c r="D23" s="44"/>
      <c r="E23" s="67"/>
      <c r="F23" s="63"/>
      <c r="G23" s="68"/>
      <c r="H23" s="25"/>
      <c r="I23" s="70"/>
      <c r="J23" s="25"/>
      <c r="K23" s="25"/>
      <c r="L23" s="25"/>
      <c r="M23" s="25"/>
      <c r="N23" s="25"/>
      <c r="O23" s="27"/>
      <c r="P23" s="27"/>
      <c r="Q23" s="27"/>
      <c r="R23" s="27"/>
      <c r="S23" s="27"/>
    </row>
    <row r="24" spans="1:19" ht="33" customHeight="1" x14ac:dyDescent="0.25">
      <c r="C24" s="45"/>
      <c r="D24" s="44"/>
      <c r="E24" s="68"/>
      <c r="F24" s="68"/>
      <c r="G24" s="68"/>
      <c r="H24" s="25"/>
      <c r="I24" s="25"/>
      <c r="J24" s="25"/>
      <c r="K24" s="25"/>
      <c r="L24" s="25"/>
      <c r="M24" s="25" t="s">
        <v>20</v>
      </c>
      <c r="N24" s="25"/>
      <c r="O24" s="27"/>
      <c r="P24" s="27"/>
      <c r="Q24" s="27"/>
      <c r="R24" s="27"/>
      <c r="S24" s="27"/>
    </row>
    <row r="25" spans="1:19" ht="21" customHeight="1" x14ac:dyDescent="0.25">
      <c r="B25" s="17" t="s">
        <v>30</v>
      </c>
      <c r="C25" s="49">
        <f>MIN(C9,F17,F19)</f>
        <v>0</v>
      </c>
      <c r="D25" s="50"/>
      <c r="E25" s="71"/>
      <c r="F25" s="25"/>
      <c r="G25" s="25">
        <v>7500</v>
      </c>
      <c r="H25" s="63">
        <f>$C$3+$C$5</f>
        <v>0</v>
      </c>
      <c r="I25" s="25"/>
      <c r="J25" s="25"/>
      <c r="K25" s="25"/>
      <c r="L25" s="8"/>
      <c r="M25" s="8"/>
      <c r="N25" s="8"/>
      <c r="O25" s="24"/>
      <c r="P25" s="24"/>
      <c r="Q25" s="24"/>
      <c r="R25" s="24"/>
      <c r="S25" s="24"/>
    </row>
    <row r="26" spans="1:19" ht="29.25" customHeight="1" x14ac:dyDescent="0.25">
      <c r="A26" s="52"/>
      <c r="B26" s="52"/>
      <c r="C26" s="45"/>
      <c r="D26" s="44"/>
      <c r="E26" s="68"/>
      <c r="F26" s="68"/>
      <c r="G26" s="25">
        <v>6200</v>
      </c>
      <c r="H26" s="65">
        <f>H25</f>
        <v>0</v>
      </c>
      <c r="I26" s="72"/>
      <c r="J26" s="73" t="str">
        <f>IF((K16=1)*AND(K20=1),"65",IF((K16=2)*AND(K20=1),"55",IF((K16=3)*AND(K20=1),"45",IF((K16=1)*AND(K20=2),"80",IF((K16=2)*AND(K20=2),"70",IF((K16=3)*AND(K20=2),"60"))))))</f>
        <v>65</v>
      </c>
      <c r="K26" s="74"/>
      <c r="L26" s="8"/>
      <c r="M26" s="8"/>
      <c r="N26" s="8"/>
      <c r="O26" s="24"/>
      <c r="P26" s="24"/>
      <c r="Q26" s="24"/>
      <c r="R26" s="24"/>
      <c r="S26" s="24"/>
    </row>
    <row r="27" spans="1:19" x14ac:dyDescent="0.25">
      <c r="A27" s="38"/>
      <c r="B27" s="38"/>
      <c r="C27" s="38"/>
      <c r="D27" s="38"/>
      <c r="E27" s="25"/>
      <c r="F27" s="25"/>
      <c r="G27" s="25"/>
      <c r="H27" s="25"/>
      <c r="I27" s="25"/>
      <c r="J27" s="25"/>
      <c r="K27" s="25"/>
      <c r="L27" s="8"/>
      <c r="M27" s="8"/>
    </row>
    <row r="28" spans="1:19" x14ac:dyDescent="0.25">
      <c r="A28" s="38"/>
      <c r="B28" s="38"/>
      <c r="C28" s="38"/>
      <c r="D28" s="38"/>
      <c r="E28" s="25"/>
      <c r="F28" s="25"/>
      <c r="G28" s="25"/>
      <c r="H28" s="25"/>
      <c r="I28" s="25"/>
      <c r="J28" s="25"/>
      <c r="K28" s="25"/>
      <c r="L28" s="8"/>
      <c r="M28" s="8"/>
    </row>
    <row r="29" spans="1:19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8"/>
      <c r="M29" s="8"/>
    </row>
    <row r="30" spans="1:19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8"/>
      <c r="M30" s="8"/>
    </row>
    <row r="31" spans="1:19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8"/>
      <c r="M31" s="8"/>
    </row>
    <row r="32" spans="1:19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8"/>
      <c r="M32" s="8"/>
    </row>
    <row r="33" spans="1:13" hidden="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6"/>
      <c r="M33" s="6"/>
    </row>
  </sheetData>
  <sheetProtection algorithmName="SHA-512" hashValue="bxrwff0Bmq5u+pak4rQFd+Te1aG4RD4l4veDZMQCjuxrrwRXYxmyTZ9YKOQTXiuJcHl0/MiB1zMDORLjRQrHbg==" saltValue="XHqK1W+Yhnzz5sDlJ7X1NA==" spinCount="100000" sheet="1" objects="1" scenarios="1"/>
  <mergeCells count="1">
    <mergeCell ref="B1:C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locked="0" defaultSize="0" autoLine="0" autoPict="0">
                <anchor moveWithCells="1">
                  <from>
                    <xdr:col>2</xdr:col>
                    <xdr:colOff>76200</xdr:colOff>
                    <xdr:row>16</xdr:row>
                    <xdr:rowOff>47625</xdr:rowOff>
                  </from>
                  <to>
                    <xdr:col>2</xdr:col>
                    <xdr:colOff>1533525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locked="0" defaultSize="0" autoLine="0" autoPict="0">
                <anchor moveWithCells="1">
                  <from>
                    <xdr:col>2</xdr:col>
                    <xdr:colOff>76200</xdr:colOff>
                    <xdr:row>18</xdr:row>
                    <xdr:rowOff>19050</xdr:rowOff>
                  </from>
                  <to>
                    <xdr:col>2</xdr:col>
                    <xdr:colOff>1533525</xdr:colOff>
                    <xdr:row>18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53"/>
  <sheetViews>
    <sheetView workbookViewId="0">
      <selection activeCell="B3" sqref="B3"/>
    </sheetView>
  </sheetViews>
  <sheetFormatPr defaultColWidth="0" defaultRowHeight="15" zeroHeight="1" x14ac:dyDescent="0.25"/>
  <cols>
    <col min="1" max="1" width="77.7109375" style="56" customWidth="1"/>
    <col min="2" max="2" width="19.7109375" style="56" customWidth="1"/>
    <col min="3" max="3" width="55.28515625" style="56" customWidth="1"/>
    <col min="4" max="4" width="19.7109375" style="38" customWidth="1"/>
    <col min="5" max="10" width="5.7109375" style="38" customWidth="1"/>
    <col min="11" max="13" width="9.140625" style="8" hidden="1" customWidth="1"/>
    <col min="14" max="18" width="9.140625" style="24" hidden="1" customWidth="1"/>
    <col min="19" max="16384" width="9.140625" hidden="1"/>
  </cols>
  <sheetData>
    <row r="1" spans="1:18" ht="21" customHeight="1" x14ac:dyDescent="0.3">
      <c r="A1" s="81" t="s">
        <v>2</v>
      </c>
      <c r="B1" s="81"/>
      <c r="C1" s="81"/>
      <c r="D1" s="18"/>
      <c r="E1" s="18"/>
      <c r="F1" s="8"/>
      <c r="G1" s="8"/>
      <c r="H1" s="8"/>
      <c r="I1" s="8"/>
      <c r="J1" s="8"/>
    </row>
    <row r="2" spans="1:18" ht="21" customHeight="1" thickBot="1" x14ac:dyDescent="0.3">
      <c r="A2" s="8"/>
      <c r="B2" s="8"/>
      <c r="C2" s="25"/>
      <c r="D2" s="25"/>
      <c r="E2" s="25"/>
      <c r="F2" s="25"/>
      <c r="G2" s="25"/>
      <c r="H2" s="25"/>
      <c r="I2" s="25"/>
      <c r="J2" s="25"/>
    </row>
    <row r="3" spans="1:18" ht="21" customHeight="1" thickBot="1" x14ac:dyDescent="0.3">
      <c r="A3" s="22" t="s">
        <v>10</v>
      </c>
      <c r="B3" s="33">
        <v>0</v>
      </c>
      <c r="C3" s="75">
        <f>IF(B3=0,0,(-304*LN(B3)+21400))</f>
        <v>0</v>
      </c>
      <c r="D3" s="63">
        <f>B3*C3*0.35</f>
        <v>0</v>
      </c>
      <c r="E3" s="63" t="e">
        <f>(D21/$B$9)*D3</f>
        <v>#VALUE!</v>
      </c>
      <c r="F3" s="75" t="e">
        <f>E3/B3/0.35</f>
        <v>#VALUE!</v>
      </c>
      <c r="G3" s="25"/>
      <c r="H3" s="63">
        <f>B3*C3</f>
        <v>0</v>
      </c>
      <c r="I3" s="25"/>
      <c r="J3" s="25"/>
      <c r="K3" s="25"/>
      <c r="L3" s="25"/>
      <c r="M3" s="25"/>
      <c r="N3" s="26"/>
      <c r="O3" s="27"/>
      <c r="P3" s="27"/>
      <c r="Q3" s="27"/>
      <c r="R3" s="27"/>
    </row>
    <row r="4" spans="1:18" ht="21" customHeight="1" thickBot="1" x14ac:dyDescent="0.3">
      <c r="A4" s="22"/>
      <c r="B4" s="28"/>
      <c r="C4" s="75"/>
      <c r="D4" s="63"/>
      <c r="E4" s="63"/>
      <c r="F4" s="75"/>
      <c r="G4" s="25"/>
      <c r="H4" s="63"/>
      <c r="I4" s="25"/>
      <c r="J4" s="25"/>
      <c r="K4" s="25"/>
      <c r="L4" s="25"/>
      <c r="M4" s="25"/>
      <c r="N4" s="26"/>
      <c r="O4" s="27"/>
      <c r="P4" s="27"/>
      <c r="Q4" s="27"/>
      <c r="R4" s="27"/>
    </row>
    <row r="5" spans="1:18" ht="21" customHeight="1" thickBot="1" x14ac:dyDescent="0.3">
      <c r="A5" s="22" t="s">
        <v>7</v>
      </c>
      <c r="B5" s="33">
        <v>0</v>
      </c>
      <c r="C5" s="75">
        <f>IF(B5=0,0,(-586.3*LN(B5)+24950))</f>
        <v>0</v>
      </c>
      <c r="D5" s="63">
        <f>B5*C5*0.35</f>
        <v>0</v>
      </c>
      <c r="E5" s="63" t="e">
        <f>(D21/$B$9)*D5</f>
        <v>#VALUE!</v>
      </c>
      <c r="F5" s="75" t="e">
        <f>E5/B5/0.35</f>
        <v>#VALUE!</v>
      </c>
      <c r="G5" s="25"/>
      <c r="H5" s="63">
        <f>B5*C5</f>
        <v>0</v>
      </c>
      <c r="I5" s="25"/>
      <c r="J5" s="25"/>
      <c r="K5" s="25"/>
      <c r="L5" s="25"/>
      <c r="M5" s="25"/>
      <c r="N5" s="26"/>
      <c r="O5" s="27"/>
      <c r="P5" s="27"/>
      <c r="Q5" s="27"/>
      <c r="R5" s="27"/>
    </row>
    <row r="6" spans="1:18" ht="21" customHeight="1" thickBot="1" x14ac:dyDescent="0.3">
      <c r="A6" s="22"/>
      <c r="B6" s="29"/>
      <c r="C6" s="75"/>
      <c r="D6" s="63"/>
      <c r="E6" s="63"/>
      <c r="F6" s="75"/>
      <c r="G6" s="25"/>
      <c r="H6" s="25"/>
      <c r="I6" s="25"/>
      <c r="J6" s="25"/>
      <c r="K6" s="25"/>
      <c r="L6" s="25"/>
      <c r="M6" s="25"/>
      <c r="N6" s="26"/>
      <c r="O6" s="27"/>
      <c r="P6" s="27"/>
      <c r="Q6" s="27"/>
      <c r="R6" s="27"/>
    </row>
    <row r="7" spans="1:18" ht="21" customHeight="1" thickBot="1" x14ac:dyDescent="0.3">
      <c r="A7" s="22" t="s">
        <v>8</v>
      </c>
      <c r="B7" s="33">
        <v>0</v>
      </c>
      <c r="C7" s="75">
        <f>IF(OR(B7&lt;0.2*(B3+B5),(B3+B5)=0),0,IF(AND(B7&gt;=0.2*(B3+B5),B7&lt;=0.6*(B3+B5)),-519.6*LN(B7)+24732,(-519.6*LN(0.6*(B3+B5))+24732)))</f>
        <v>0</v>
      </c>
      <c r="D7" s="63">
        <f>IF(OR(B7&lt;0.2*(B3+B5),(B3+B5)=0),0,IF(AND(B7&gt;=0.2*(B3+B5),B7&lt;=0.6*(B3+B5)),B7*C7*0.5,(B3+B5)*0.6*C7*0.5))</f>
        <v>0</v>
      </c>
      <c r="E7" s="63" t="e">
        <f>(D21/$B$9)*D7</f>
        <v>#VALUE!</v>
      </c>
      <c r="F7" s="75" t="e">
        <f>E7/B7/0.5</f>
        <v>#VALUE!</v>
      </c>
      <c r="G7" s="25"/>
      <c r="H7" s="63">
        <f>IF(OR(B7&lt;0.2*(B3+B5),(B3+B5)=0),0,IF(AND(B7&gt;=0.2*(B3+B5),B7&lt;=0.6*(B3+B5)),B7*C7,(B3+B5)*0.6*C7))</f>
        <v>0</v>
      </c>
      <c r="I7" s="25"/>
      <c r="J7" s="87"/>
      <c r="K7" s="25"/>
      <c r="L7" s="25"/>
      <c r="M7" s="25"/>
      <c r="N7" s="26"/>
      <c r="O7" s="27"/>
      <c r="P7" s="27"/>
      <c r="Q7" s="27"/>
      <c r="R7" s="27"/>
    </row>
    <row r="8" spans="1:18" ht="21" customHeight="1" x14ac:dyDescent="0.25">
      <c r="A8" s="22"/>
      <c r="B8" s="8"/>
      <c r="C8" s="75"/>
      <c r="D8" s="63">
        <f>SUM(D3:D7)</f>
        <v>0</v>
      </c>
      <c r="E8" s="63"/>
      <c r="F8" s="75"/>
      <c r="G8" s="25"/>
      <c r="H8" s="63">
        <f>SUM($H$3:$H$7)</f>
        <v>0</v>
      </c>
      <c r="I8" s="25"/>
      <c r="J8" s="87"/>
      <c r="K8" s="25"/>
      <c r="L8" s="25"/>
      <c r="M8" s="25"/>
      <c r="N8" s="27"/>
      <c r="O8" s="27"/>
      <c r="P8" s="27"/>
      <c r="Q8" s="27"/>
      <c r="R8" s="27"/>
    </row>
    <row r="9" spans="1:18" ht="21" customHeight="1" x14ac:dyDescent="0.25">
      <c r="A9" s="21" t="s">
        <v>31</v>
      </c>
      <c r="B9" s="30" t="str">
        <f>IF((B3+B5)&lt;=1000,"VÝKON POD 1 MW",IF(B7&lt;0.2*(B3+B5),0.35*((B3/(B3+B5))*C3+(B5/(B3+B5)*C5)),IF(AND(B7&gt;=0.2*(B3+B5),B7&lt;=0.6*(B3+B5)),0.35*((B3/(B3+B5))*C3+(B5/(B3+B5)*C5))+0.5*C7*B7/(B3+B5),0.35*((B3/(B3+B5))*C3+(B5/(B3+B5)*C5))+(-519.6*LN(0.6*(B3+B5))+24732)*0.5*0.6)))</f>
        <v>VÝKON POD 1 MW</v>
      </c>
      <c r="C9" s="76">
        <f>0.35*(C3+C5)+0.5*C7</f>
        <v>0</v>
      </c>
      <c r="D9" s="77" t="e">
        <f>IF(B7&lt;0.2*(B3+B5),(B3+B5)*B9,IF(AND(B7&gt;=0.2*(B3+B5),B7&lt;=0.6*(B3+B5)),(B9-(-519.6*LN(B7)+24732)*0.5*B7/(B3+B5))*(B3+B5)+(-519.6*LN(B7)+24732)*0.5*B7,(B9-(-519.6*LN(0.6*(B3+B5))+24732)*0.5*0.6)*(B3+B5)+(-519.6*LN(0.6*(B3+B5))+24732)*0.5*0.6*(B3+B5)))</f>
        <v>#VALUE!</v>
      </c>
      <c r="E9" s="78" t="e">
        <f>SUM(E3:E7)</f>
        <v>#VALUE!</v>
      </c>
      <c r="F9" s="75" t="e">
        <f>0.35*(F3+F5)+0.5*F7</f>
        <v>#VALUE!</v>
      </c>
      <c r="G9" s="25"/>
      <c r="H9" s="79" t="e">
        <f>D9/H8</f>
        <v>#VALUE!</v>
      </c>
      <c r="I9" s="25"/>
      <c r="J9" s="87"/>
      <c r="K9" s="25"/>
      <c r="L9" s="25"/>
      <c r="M9" s="25"/>
      <c r="N9" s="27"/>
      <c r="O9" s="27"/>
      <c r="P9" s="27"/>
      <c r="Q9" s="27"/>
      <c r="R9" s="27"/>
    </row>
    <row r="10" spans="1:18" ht="21" customHeight="1" x14ac:dyDescent="0.25">
      <c r="A10" s="23"/>
      <c r="B10" s="31"/>
      <c r="C10" s="76"/>
      <c r="D10" s="77" t="e">
        <f>0.5*B7*(-519.6*LN(B7)+24732)+0.35*B3*(-304*LN(B3)+21400)+0.35*B5*(-586.3*LN(B5)+24950)</f>
        <v>#NUM!</v>
      </c>
      <c r="E10" s="75" t="s">
        <v>11</v>
      </c>
      <c r="F10" s="75"/>
      <c r="G10" s="25"/>
      <c r="H10" s="63"/>
      <c r="I10" s="25"/>
      <c r="J10" s="87"/>
      <c r="K10" s="25"/>
      <c r="L10" s="25"/>
      <c r="M10" s="25"/>
      <c r="N10" s="27"/>
      <c r="O10" s="27"/>
      <c r="P10" s="27"/>
      <c r="Q10" s="27"/>
      <c r="R10" s="27"/>
    </row>
    <row r="11" spans="1:18" ht="21" customHeight="1" x14ac:dyDescent="0.25">
      <c r="A11" s="23"/>
      <c r="B11" s="32"/>
      <c r="C11" s="68"/>
      <c r="D11" s="77">
        <f>IF(OR(B7&lt;0.2*(B3+B5),(B3+B5)&lt;=1000),0,IF(AND(B7&gt;=0.2*(B3+B5),B7&lt;=0.6*(B3+B5),(B3+B5)&gt;1000),0.5*B7*(-519.6*LN(B7)+24732),0.5*0.6*(B3+B5)*(-519.6*LN(0.6*(B3+B5))+24732)))+IF(AND((B3+B5)&gt;1000,B3*B5&lt;&gt;0),0.35*B3*(-304*LN(B3)+21400)+0.35*B5*(-586.3*LN(B5)+24950),IF(AND((B3+B5)&gt;1000,B5=0),0.35*B3*(-304*LN(B3)+21400),IF(AND((B3+B5)&gt;1000,B3=0),0.35*B5*(-586.3*LN(B5)+24950),IF((B3+B5)&lt;=1000,0))))</f>
        <v>0</v>
      </c>
      <c r="E11" s="25" t="s">
        <v>12</v>
      </c>
      <c r="F11" s="25"/>
      <c r="G11" s="25"/>
      <c r="H11" s="25"/>
      <c r="I11" s="25"/>
      <c r="J11" s="87"/>
      <c r="K11" s="25"/>
      <c r="L11" s="25"/>
      <c r="M11" s="25"/>
      <c r="N11" s="27"/>
      <c r="O11" s="27"/>
      <c r="P11" s="27"/>
      <c r="Q11" s="27"/>
      <c r="R11" s="27"/>
    </row>
    <row r="12" spans="1:18" ht="21" customHeight="1" x14ac:dyDescent="0.25">
      <c r="A12" s="43"/>
      <c r="B12" s="44"/>
      <c r="C12" s="68"/>
      <c r="D12" s="68" t="s">
        <v>13</v>
      </c>
      <c r="E12" s="25"/>
      <c r="F12" s="63"/>
      <c r="G12" s="25"/>
      <c r="H12" s="70" t="s">
        <v>14</v>
      </c>
      <c r="I12" s="87" t="s">
        <v>15</v>
      </c>
      <c r="J12" s="87">
        <v>1</v>
      </c>
      <c r="K12" s="25"/>
      <c r="L12" s="25"/>
      <c r="M12" s="25"/>
      <c r="N12" s="27"/>
      <c r="O12" s="27"/>
      <c r="P12" s="27"/>
      <c r="Q12" s="27"/>
      <c r="R12" s="27"/>
    </row>
    <row r="13" spans="1:18" ht="21" customHeight="1" x14ac:dyDescent="0.25">
      <c r="A13" s="43" t="s">
        <v>22</v>
      </c>
      <c r="B13" s="45" t="e">
        <f>IF(B7&lt;0.2*(B3+B5),D13/(B3+B5),IF(AND(B7&gt;=0.2*(B3+B5),B7&lt;=0.6*(B3+B5)),(D13-((-519.6*LN(B7)+24732)*(D13/D9)*0.5*B7))/(B3+B5)+(-519.6*LN(B7)+24732)*(D13/D9)*0.5*B7/(B3+B5),(D13-((-519.6*LN((B3+B5)*0.6)+24732)*(D13/D9)*0.5*(B3+B5)*0.6))/(B3+B5)+(-519.6*LN((B3+B5)*0.6)+24732)*(D13/D9)*0.5*0.6))</f>
        <v>#NUM!</v>
      </c>
      <c r="C13" s="68"/>
      <c r="D13" s="67">
        <f>IF(OR(B3+B5&lt;=1000,B19&lt;=(B3+B5)*2022.7),0,IF(AND((B3+B5)&gt;1000,(B3+B5)&lt;=10000),I22/100*(B19-(B3+B5)*1249.1),I22/100*(B19-(B3+B5)*2022.7)))</f>
        <v>0</v>
      </c>
      <c r="E13" s="63"/>
      <c r="F13" s="63"/>
      <c r="G13" s="25"/>
      <c r="H13" s="25"/>
      <c r="I13" s="87" t="s">
        <v>18</v>
      </c>
      <c r="J13" s="87"/>
      <c r="K13" s="25"/>
      <c r="L13" s="25"/>
      <c r="M13" s="25"/>
      <c r="N13" s="27"/>
      <c r="O13" s="27"/>
      <c r="P13" s="27"/>
      <c r="Q13" s="27"/>
      <c r="R13" s="27"/>
    </row>
    <row r="14" spans="1:18" ht="21" customHeight="1" x14ac:dyDescent="0.25">
      <c r="A14" s="43"/>
      <c r="B14" s="45"/>
      <c r="C14" s="68"/>
      <c r="D14" s="67"/>
      <c r="E14" s="68"/>
      <c r="F14" s="68"/>
      <c r="G14" s="25"/>
      <c r="H14" s="25"/>
      <c r="I14" s="87" t="s">
        <v>20</v>
      </c>
      <c r="J14" s="87"/>
      <c r="K14" s="25"/>
      <c r="L14" s="25" t="s">
        <v>15</v>
      </c>
      <c r="M14" s="25">
        <v>7</v>
      </c>
      <c r="N14" s="27" t="s">
        <v>16</v>
      </c>
      <c r="O14" s="27">
        <v>1</v>
      </c>
      <c r="P14" s="27"/>
      <c r="Q14" s="27"/>
      <c r="R14" s="27"/>
    </row>
    <row r="15" spans="1:18" ht="21" customHeight="1" x14ac:dyDescent="0.25">
      <c r="A15" s="43" t="s">
        <v>23</v>
      </c>
      <c r="B15" s="45" t="e">
        <f>IF(B7&lt;0.2*(B3+B5),D15/(B3+B5),IF(AND(B7&gt;=0.2*(B3+B5),B7&lt;=0.6*(B3+B5)),(D15-((-519.6*LN(B7)+24732)*(D15/D9)*0.5*B7))/(B3+B5)+(-519.6*LN(B7)+24732)*(D15/D9)*0.5*B7/(B3+B5),(D15-((-519.6*LN((B3+B5)*0.6)+24732)*(D15/D9)*0.5*(B3+B5)*0.6))/(B3+B5)+(-519.6*LN((B3+B5)*0.6)+24732)*(D15/D9)*0.5*0.6))</f>
        <v>#NUM!</v>
      </c>
      <c r="C15" s="68"/>
      <c r="D15" s="67">
        <f>0.5*B19</f>
        <v>0</v>
      </c>
      <c r="E15" s="63"/>
      <c r="F15" s="68"/>
      <c r="G15" s="25"/>
      <c r="H15" s="70" t="s">
        <v>17</v>
      </c>
      <c r="I15" s="87"/>
      <c r="J15" s="87"/>
      <c r="K15" s="25"/>
      <c r="L15" s="25" t="s">
        <v>18</v>
      </c>
      <c r="M15" s="25"/>
      <c r="N15" s="27" t="s">
        <v>19</v>
      </c>
      <c r="O15" s="27"/>
      <c r="P15" s="27"/>
      <c r="Q15" s="27"/>
      <c r="R15" s="27"/>
    </row>
    <row r="16" spans="1:18" ht="21" customHeight="1" x14ac:dyDescent="0.25">
      <c r="A16" s="43"/>
      <c r="B16" s="45"/>
      <c r="C16" s="68"/>
      <c r="D16" s="67"/>
      <c r="E16" s="63"/>
      <c r="F16" s="68"/>
      <c r="G16" s="25"/>
      <c r="H16" s="70"/>
      <c r="I16" s="87" t="s">
        <v>16</v>
      </c>
      <c r="J16" s="87">
        <v>1</v>
      </c>
      <c r="K16" s="25"/>
      <c r="L16" s="25"/>
      <c r="M16" s="25"/>
      <c r="N16" s="27"/>
      <c r="O16" s="27"/>
      <c r="P16" s="27"/>
      <c r="Q16" s="27"/>
      <c r="R16" s="27"/>
    </row>
    <row r="17" spans="1:18" ht="21" customHeight="1" x14ac:dyDescent="0.25">
      <c r="A17" s="46" t="s">
        <v>26</v>
      </c>
      <c r="B17" s="47">
        <f>SUM($H$3:$H$7)</f>
        <v>0</v>
      </c>
      <c r="C17" s="68"/>
      <c r="D17" s="67"/>
      <c r="E17" s="63"/>
      <c r="F17" s="68"/>
      <c r="G17" s="25"/>
      <c r="H17" s="70"/>
      <c r="I17" s="87" t="s">
        <v>19</v>
      </c>
      <c r="J17" s="87"/>
      <c r="K17" s="25"/>
      <c r="L17" s="25"/>
      <c r="M17" s="25"/>
      <c r="N17" s="27"/>
      <c r="O17" s="27"/>
      <c r="P17" s="27"/>
      <c r="Q17" s="27"/>
      <c r="R17" s="27"/>
    </row>
    <row r="18" spans="1:18" ht="21" customHeight="1" thickBot="1" x14ac:dyDescent="0.3">
      <c r="A18" s="46"/>
      <c r="B18" s="47"/>
      <c r="C18" s="68"/>
      <c r="D18" s="67"/>
      <c r="E18" s="63"/>
      <c r="F18" s="68"/>
      <c r="G18" s="25"/>
      <c r="H18" s="70"/>
      <c r="I18" s="25"/>
      <c r="J18" s="87"/>
      <c r="K18" s="25"/>
      <c r="L18" s="25"/>
      <c r="M18" s="25"/>
      <c r="N18" s="27"/>
      <c r="O18" s="27"/>
      <c r="P18" s="27"/>
      <c r="Q18" s="27"/>
      <c r="R18" s="27"/>
    </row>
    <row r="19" spans="1:18" ht="21" customHeight="1" thickBot="1" x14ac:dyDescent="0.3">
      <c r="A19" s="43" t="s">
        <v>32</v>
      </c>
      <c r="B19" s="48">
        <v>0</v>
      </c>
      <c r="C19" s="68"/>
      <c r="D19" s="67"/>
      <c r="E19" s="63"/>
      <c r="F19" s="68"/>
      <c r="G19" s="25"/>
      <c r="H19" s="70"/>
      <c r="I19" s="25"/>
      <c r="J19" s="87"/>
      <c r="K19" s="25"/>
      <c r="L19" s="25"/>
      <c r="M19" s="25"/>
      <c r="N19" s="27"/>
      <c r="O19" s="27"/>
      <c r="P19" s="27"/>
      <c r="Q19" s="27"/>
      <c r="R19" s="27"/>
    </row>
    <row r="20" spans="1:18" ht="33" customHeight="1" thickBot="1" x14ac:dyDescent="0.3">
      <c r="A20" s="83" t="s">
        <v>24</v>
      </c>
      <c r="B20" s="45"/>
      <c r="C20" s="44"/>
      <c r="D20" s="44"/>
      <c r="E20" s="44"/>
      <c r="F20" s="44"/>
      <c r="K20" s="25"/>
      <c r="L20" s="25" t="s">
        <v>20</v>
      </c>
      <c r="M20" s="25"/>
      <c r="N20" s="27"/>
      <c r="O20" s="27"/>
      <c r="P20" s="27"/>
      <c r="Q20" s="27"/>
      <c r="R20" s="27"/>
    </row>
    <row r="21" spans="1:18" ht="21" customHeight="1" thickBot="1" x14ac:dyDescent="0.3">
      <c r="A21" s="83"/>
      <c r="B21" s="49" t="e">
        <f>MIN(B9,B13,B15)</f>
        <v>#NUM!</v>
      </c>
      <c r="C21" s="50" t="s">
        <v>27</v>
      </c>
      <c r="D21" s="51">
        <v>0</v>
      </c>
      <c r="E21" s="25"/>
      <c r="F21" s="25">
        <v>7500</v>
      </c>
      <c r="G21" s="63">
        <f>$B$3+$B$5</f>
        <v>0</v>
      </c>
      <c r="H21" s="25"/>
      <c r="I21" s="25"/>
    </row>
    <row r="22" spans="1:18" ht="29.25" customHeight="1" x14ac:dyDescent="0.25">
      <c r="A22" s="52"/>
      <c r="B22" s="45"/>
      <c r="C22" s="44"/>
      <c r="D22" s="44"/>
      <c r="E22" s="68"/>
      <c r="F22" s="25">
        <v>6200</v>
      </c>
      <c r="G22" s="65">
        <f>G21</f>
        <v>0</v>
      </c>
      <c r="H22" s="72"/>
      <c r="I22" s="73" t="str">
        <f>IF((J12=1)*AND(J16=1),"65",IF((J12=2)*AND(J16=1),"55",IF((J12=3)*AND(J16=1),"45",IF((J12=1)*AND(J16=2),"80",IF((J12=2)*AND(J16=2),"70",IF((J12=3)*AND(J16=2),"60"))))))</f>
        <v>65</v>
      </c>
      <c r="J22" s="41"/>
    </row>
    <row r="23" spans="1:18" ht="21" customHeight="1" x14ac:dyDescent="0.25">
      <c r="A23" s="43" t="s">
        <v>21</v>
      </c>
      <c r="B23" s="53" t="e">
        <f>IF($B$7&lt;0.2*($B$3+$B$5),($B$3+$B$5)*$B$21,IF(AND($B$7&gt;=0.2*($B$3+$B$5),$B$7&lt;=0.6*($B$3+$B$5)),($B$21-((-519.6*LN($B$7)+24732)*($B$21/$B$9)*0.5*$B$7/($B$3+$B$5)))*($B$3+$B$5)+(-519.6*LN($B$7)+24732)*($B$21/$B$9)*0.5*$B$7,($B$21-((-519.6*LN(($B$3+$B$5)*0.6)+24732)*($B$21/$B$9)*0.5*0.6))*($B$3+$B$5)+(-519.6*LN(($B$3+$B$5)*0.6)+24732)*($B$21/$B$9)*0.5*($B$3+$B$5)*0.6))</f>
        <v>#NUM!</v>
      </c>
      <c r="C23" s="54" t="s">
        <v>25</v>
      </c>
      <c r="D23" s="55" t="e">
        <f>IF(D21&gt;B21, "PŘEKROČEN LIMIT",IF(B7&lt;0.2*(B3+B5),(B3+B5)*D21,IF(AND(B7&gt;=0.2*(B3+B5),B7&lt;=0.6*(B3+B5)),(D21-(-519.6*LN(B7)+24732)*0.5*D21/B9*B7/(B3+B5))*(B3+B5)+(-519.6*LN(B7)+24732)*0.5*B7*D21/B9,(D21-(-519.6*LN(0.6*(B3+B5))+24732)*0.5*D21/B9*0.6)*(B3+B5)+(-519.6*LN(0.6*(B3+B5))+24732)*0.5*0.6*(B3+B5)*D21/B9)))</f>
        <v>#NUM!</v>
      </c>
      <c r="E23" s="68"/>
      <c r="F23" s="25">
        <v>0</v>
      </c>
      <c r="G23" s="65" t="e">
        <f>$B$21</f>
        <v>#NUM!</v>
      </c>
      <c r="H23" s="80"/>
      <c r="I23" s="25"/>
    </row>
    <row r="24" spans="1:18" ht="21" customHeight="1" x14ac:dyDescent="0.25">
      <c r="A24" s="36"/>
      <c r="B24" s="37"/>
      <c r="C24" s="20"/>
      <c r="E24" s="25"/>
      <c r="F24" s="25">
        <v>100000</v>
      </c>
      <c r="G24" s="65" t="e">
        <f>G23</f>
        <v>#NUM!</v>
      </c>
      <c r="H24" s="25"/>
      <c r="I24" s="25"/>
    </row>
    <row r="25" spans="1:18" ht="21" customHeight="1" x14ac:dyDescent="0.25">
      <c r="A25" s="36"/>
      <c r="B25" s="40"/>
      <c r="C25" s="20"/>
    </row>
    <row r="26" spans="1:18" ht="21" hidden="1" customHeight="1" x14ac:dyDescent="0.25">
      <c r="A26" s="34"/>
      <c r="B26" s="35"/>
      <c r="C26" s="20"/>
    </row>
    <row r="27" spans="1:18" ht="21" hidden="1" customHeight="1" x14ac:dyDescent="0.25">
      <c r="A27" s="36"/>
      <c r="B27" s="37"/>
      <c r="C27" s="20"/>
    </row>
    <row r="28" spans="1:18" ht="21" hidden="1" customHeight="1" x14ac:dyDescent="0.25">
      <c r="A28" s="36"/>
      <c r="B28" s="37"/>
      <c r="C28" s="20"/>
    </row>
    <row r="29" spans="1:18" hidden="1" x14ac:dyDescent="0.25">
      <c r="A29" s="38"/>
      <c r="B29" s="38"/>
      <c r="C29" s="38"/>
    </row>
    <row r="30" spans="1:18" hidden="1" x14ac:dyDescent="0.25">
      <c r="A30" s="38"/>
      <c r="B30" s="38"/>
      <c r="C30" s="38"/>
    </row>
    <row r="31" spans="1:18" hidden="1" x14ac:dyDescent="0.25">
      <c r="A31" s="38"/>
      <c r="B31" s="38"/>
      <c r="C31" s="38"/>
    </row>
    <row r="32" spans="1:18" hidden="1" x14ac:dyDescent="0.25">
      <c r="A32" s="38"/>
      <c r="B32" s="40"/>
      <c r="C32" s="38"/>
    </row>
    <row r="33" spans="1:3" hidden="1" x14ac:dyDescent="0.25">
      <c r="A33" s="38"/>
      <c r="B33" s="39"/>
      <c r="C33" s="38"/>
    </row>
    <row r="34" spans="1:3" hidden="1" x14ac:dyDescent="0.25">
      <c r="A34" s="38"/>
      <c r="B34" s="39"/>
      <c r="C34" s="38"/>
    </row>
    <row r="35" spans="1:3" hidden="1" x14ac:dyDescent="0.25">
      <c r="A35" s="38"/>
      <c r="B35" s="39"/>
      <c r="C35" s="38"/>
    </row>
    <row r="36" spans="1:3" hidden="1" x14ac:dyDescent="0.25">
      <c r="A36" s="38"/>
      <c r="B36" s="38"/>
      <c r="C36" s="38"/>
    </row>
    <row r="37" spans="1:3" hidden="1" x14ac:dyDescent="0.25">
      <c r="A37" s="38"/>
      <c r="B37" s="38"/>
      <c r="C37" s="38"/>
    </row>
    <row r="38" spans="1:3" hidden="1" x14ac:dyDescent="0.25">
      <c r="A38" s="38"/>
      <c r="B38" s="38"/>
      <c r="C38" s="38"/>
    </row>
    <row r="39" spans="1:3" hidden="1" x14ac:dyDescent="0.25">
      <c r="A39" s="38"/>
      <c r="B39" s="38"/>
      <c r="C39" s="38"/>
    </row>
    <row r="40" spans="1:3" hidden="1" x14ac:dyDescent="0.25">
      <c r="A40" s="38"/>
      <c r="B40" s="38"/>
      <c r="C40" s="38"/>
    </row>
    <row r="41" spans="1:3" hidden="1" x14ac:dyDescent="0.25">
      <c r="A41" s="38"/>
      <c r="B41" s="38"/>
      <c r="C41" s="38"/>
    </row>
    <row r="42" spans="1:3" hidden="1" x14ac:dyDescent="0.25">
      <c r="A42" s="38"/>
      <c r="B42" s="38"/>
      <c r="C42" s="38"/>
    </row>
    <row r="43" spans="1:3" hidden="1" x14ac:dyDescent="0.25">
      <c r="A43" s="38"/>
      <c r="B43" s="38"/>
      <c r="C43" s="38"/>
    </row>
    <row r="44" spans="1:3" hidden="1" x14ac:dyDescent="0.25">
      <c r="A44" s="38"/>
      <c r="B44" s="38"/>
      <c r="C44" s="38"/>
    </row>
    <row r="45" spans="1:3" hidden="1" x14ac:dyDescent="0.25">
      <c r="A45" s="38"/>
      <c r="B45" s="38"/>
      <c r="C45" s="38"/>
    </row>
    <row r="46" spans="1:3" hidden="1" x14ac:dyDescent="0.25">
      <c r="A46" s="38"/>
      <c r="B46" s="38"/>
      <c r="C46" s="38"/>
    </row>
    <row r="47" spans="1:3" hidden="1" x14ac:dyDescent="0.25">
      <c r="A47" s="38"/>
      <c r="B47" s="38"/>
      <c r="C47" s="38"/>
    </row>
    <row r="48" spans="1:3" hidden="1" x14ac:dyDescent="0.25">
      <c r="A48" s="38"/>
      <c r="B48" s="38"/>
      <c r="C48" s="38"/>
    </row>
    <row r="49" spans="1:3" hidden="1" x14ac:dyDescent="0.25">
      <c r="A49" s="38"/>
      <c r="B49" s="38"/>
      <c r="C49" s="38"/>
    </row>
    <row r="50" spans="1:3" hidden="1" x14ac:dyDescent="0.25">
      <c r="A50" s="38"/>
      <c r="B50" s="38"/>
      <c r="C50" s="38"/>
    </row>
    <row r="51" spans="1:3" hidden="1" x14ac:dyDescent="0.25">
      <c r="A51" s="38"/>
      <c r="B51" s="38"/>
      <c r="C51" s="38"/>
    </row>
    <row r="52" spans="1:3" hidden="1" x14ac:dyDescent="0.25">
      <c r="A52" s="38"/>
      <c r="B52" s="38"/>
      <c r="C52" s="38"/>
    </row>
    <row r="53" spans="1:3" hidden="1" x14ac:dyDescent="0.25">
      <c r="A53" s="38"/>
      <c r="B53" s="38"/>
      <c r="C53" s="38"/>
    </row>
  </sheetData>
  <sheetProtection algorithmName="SHA-512" hashValue="PwGEZ59cbZdLSPrFymvFASnEQ5E8Js1Z4leKeXYeQPLjE6qN8Sarsl4HYMICWGH/6bGmhNQWcqUpvacNHbMyiw==" saltValue="I6PzWwb/KBafTU6HpeQ2AA==" spinCount="100000" sheet="1" objects="1" scenarios="1"/>
  <mergeCells count="2">
    <mergeCell ref="A1:C1"/>
    <mergeCell ref="A20:A21"/>
  </mergeCells>
  <pageMargins left="0.7" right="0.7" top="0.78740157499999996" bottom="0.78740157499999996" header="0.3" footer="0.3"/>
  <pageSetup paperSize="9" orientation="portrait" r:id="rId1"/>
  <ignoredErrors>
    <ignoredError sqref="G2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2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1</xdr:col>
                    <xdr:colOff>19050</xdr:colOff>
                    <xdr:row>14</xdr:row>
                    <xdr:rowOff>28575</xdr:rowOff>
                  </from>
                  <to>
                    <xdr:col>2</xdr:col>
                    <xdr:colOff>161925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84" t="s">
        <v>0</v>
      </c>
      <c r="B1" s="84" t="s">
        <v>1</v>
      </c>
      <c r="C1" s="86"/>
      <c r="D1" t="s">
        <v>6</v>
      </c>
    </row>
    <row r="2" spans="1:4" ht="15.75" thickBot="1" x14ac:dyDescent="0.3">
      <c r="A2" s="85"/>
      <c r="B2" s="1" t="s">
        <v>5</v>
      </c>
      <c r="C2" s="1" t="s">
        <v>4</v>
      </c>
      <c r="D2" s="4">
        <v>0.35</v>
      </c>
    </row>
    <row r="3" spans="1:4" ht="15.75" thickTop="1" x14ac:dyDescent="0.25">
      <c r="A3" s="3">
        <v>1</v>
      </c>
      <c r="B3" s="2">
        <f>(-1092*LN(A3)+28657)*$D$2</f>
        <v>10029.949999999999</v>
      </c>
      <c r="C3" s="2">
        <f>(-814*LN(A3)+25417)*$D$2</f>
        <v>8895.9499999999989</v>
      </c>
      <c r="D3" s="5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84" t="s">
        <v>0</v>
      </c>
      <c r="B1" s="84" t="s">
        <v>1</v>
      </c>
      <c r="C1" s="86"/>
      <c r="D1" t="s">
        <v>6</v>
      </c>
    </row>
    <row r="2" spans="1:4" ht="15.75" thickBot="1" x14ac:dyDescent="0.3">
      <c r="A2" s="85"/>
      <c r="B2" s="1" t="s">
        <v>5</v>
      </c>
      <c r="C2" s="1" t="s">
        <v>4</v>
      </c>
      <c r="D2" s="4">
        <v>0.35</v>
      </c>
    </row>
    <row r="3" spans="1:4" ht="15.75" thickTop="1" x14ac:dyDescent="0.25">
      <c r="A3" s="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 s="3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 s="3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 s="3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 s="3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 s="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 s="3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 s="3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 s="3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 s="3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 s="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 s="3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 s="3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 s="3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 s="3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 s="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 s="3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 s="3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 s="3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 s="3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 s="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 s="3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 s="3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 s="3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 s="3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 s="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 s="3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 s="3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 s="3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 s="3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 s="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 s="3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 s="3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 s="3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 s="3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 s="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 s="3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 s="3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 s="3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 s="3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 s="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 s="3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 s="3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 s="3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 s="3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 s="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 s="3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 s="3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 s="3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 s="3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 s="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 s="3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 s="3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 s="3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 s="3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 s="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 s="3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 s="3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 s="3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 s="3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 s="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 s="3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 s="3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 s="3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 s="3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 s="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 s="3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 s="3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 s="3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 s="3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 s="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 s="3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 s="3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 s="3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 s="3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 s="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 s="3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 s="3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 s="3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 s="3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 s="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 s="3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 s="3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 s="3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 s="3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 s="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 s="3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 s="3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 s="3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 s="3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 s="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 s="3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 s="3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 s="3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 s="3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 s="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 s="3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 s="3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 s="3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 s="3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 s="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 s="3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 s="3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 s="3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 s="3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 s="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 s="3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 s="3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 s="3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 s="3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 s="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 s="3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 s="3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 s="3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 s="3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 s="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 s="3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 s="3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 s="3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 s="3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 s="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 s="3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 s="3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 s="3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 s="3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 s="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 s="3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 s="3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 s="3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 s="3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 s="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 s="3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 s="3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 s="3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 s="3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 s="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 s="3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 s="3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 s="3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 s="3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 s="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 s="3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 s="3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 s="3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 s="3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 s="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 s="3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 s="3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 s="3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 s="3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 s="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 s="3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 s="3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 s="3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 s="3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 s="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 s="3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 s="3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 s="3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 s="3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 s="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 s="3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 s="3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 s="3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 s="3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 s="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 s="3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 s="3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 s="3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 s="3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 s="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 s="3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 s="3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 s="3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 s="3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 s="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 s="3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 s="3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 s="3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 s="3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 s="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 s="3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 s="3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 s="3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 s="3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 s="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 s="3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 s="3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 s="3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 s="3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 s="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 s="3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 s="3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 s="3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 s="3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 s="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 s="3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 s="3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 s="3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 s="3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 s="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 s="3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 s="3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 s="3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 s="3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 s="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 s="3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 s="3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 s="3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 s="3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 s="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 s="3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 s="3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 s="3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 s="3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 s="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 s="3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 s="3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 s="3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 s="3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 s="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 s="3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 s="3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 s="3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 s="3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 s="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 s="3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 s="3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 s="3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 s="3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 s="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 s="3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 s="3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 s="3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 s="3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 s="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 s="3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 s="3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 s="3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 s="3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 s="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 s="3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 s="3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 s="3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 s="3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 s="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 s="3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 s="3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 s="3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 s="3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 s="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 s="3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 s="3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 s="3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 s="3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 s="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 s="3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 s="3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 s="3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 s="3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 s="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 s="3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 s="3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 s="3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 s="3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 s="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 s="3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 s="3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 s="3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 s="3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 s="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 s="3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 s="3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 s="3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 s="3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 s="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 s="3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 s="3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 s="3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 s="3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 s="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 s="3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 s="3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 s="3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 s="3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 s="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 s="3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 s="3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 s="3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 s="3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 s="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 s="3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 s="3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 s="3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 s="3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 s="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 s="3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 s="3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 s="3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 s="3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 s="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 s="3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 s="3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 s="3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 s="3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 s="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 s="3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 s="3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 s="3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 s="3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 s="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 s="3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 s="3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 s="3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 s="3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 s="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 s="3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 s="3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 s="3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 s="3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 s="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 s="3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 s="3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 s="3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 s="3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 s="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 s="3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 s="3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 s="3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 s="3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 s="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 s="3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 s="3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 s="3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 s="3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 s="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 s="3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 s="3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 s="3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 s="3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 s="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 s="3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 s="3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 s="3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 s="3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 s="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 s="3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 s="3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 s="3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 s="3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 s="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 s="3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 s="3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 s="3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 s="3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 s="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 s="3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 s="3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 s="3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 s="3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 s="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 s="3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 s="3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 s="3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 s="3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 s="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 s="3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 s="3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 s="3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 s="3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 s="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 s="3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 s="3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 s="3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 s="3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 s="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 s="3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 s="3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 s="3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 s="3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 s="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 s="3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 s="3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 s="3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 s="3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 s="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 s="3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 s="3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 s="3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 s="3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 s="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 s="3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 s="3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 s="3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 s="3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 s="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 s="3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 s="3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 s="3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 s="3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 s="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 s="3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 s="3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 s="3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 s="3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 s="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 s="3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 s="3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 s="3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 s="3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 s="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 s="3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 s="3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 s="3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 s="3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 s="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 s="3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 s="3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 s="3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 s="3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 s="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 s="3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 s="3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 s="3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 s="3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 s="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 s="3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 s="3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 s="3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 s="3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 s="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 s="3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 s="3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 s="3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 s="3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 s="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 s="3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 s="3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 s="3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 s="3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 s="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 s="3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 s="3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 s="3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 s="3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 s="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 s="3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 s="3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 s="3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 s="3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 s="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 s="3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 s="3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 s="3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 s="3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 s="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 s="3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 s="3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 s="3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 s="3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 s="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 s="3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 s="3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 s="3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 s="3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 s="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 s="3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 s="3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 s="3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 s="3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 s="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 s="3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 s="3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 s="3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 s="3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 s="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 s="3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 s="3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 s="3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 s="3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 s="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 s="3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 s="3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 s="3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 s="3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 s="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 s="3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 s="3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 s="3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 s="3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 s="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 s="3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 s="3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 s="3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 s="3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 s="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A995" s="3"/>
      <c r="B995" s="2"/>
      <c r="C995" s="2"/>
    </row>
    <row r="996" spans="1:3" x14ac:dyDescent="0.25">
      <c r="B996" s="2"/>
      <c r="C996" s="2"/>
    </row>
    <row r="997" spans="1:3" x14ac:dyDescent="0.25">
      <c r="A997" s="3"/>
      <c r="B997" s="2"/>
      <c r="C997" s="2"/>
    </row>
    <row r="998" spans="1:3" x14ac:dyDescent="0.25">
      <c r="B998" s="2"/>
      <c r="C998" s="2"/>
    </row>
    <row r="999" spans="1:3" x14ac:dyDescent="0.25">
      <c r="A999" s="3"/>
      <c r="B999" s="2"/>
      <c r="C999" s="2"/>
    </row>
    <row r="1000" spans="1:3" x14ac:dyDescent="0.25">
      <c r="B1000" s="2"/>
      <c r="C1000" s="2"/>
    </row>
    <row r="1001" spans="1:3" x14ac:dyDescent="0.25">
      <c r="A1001" s="3"/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Velikost projektu</vt:lpstr>
      <vt:lpstr>DotaceMax do 1 MW</vt:lpstr>
      <vt:lpstr>JednDotMax nad 1 MW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Marcin Ivo</cp:lastModifiedBy>
  <dcterms:created xsi:type="dcterms:W3CDTF">2021-05-12T07:14:30Z</dcterms:created>
  <dcterms:modified xsi:type="dcterms:W3CDTF">2021-10-22T10:19:21Z</dcterms:modified>
</cp:coreProperties>
</file>