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rcin\Documents\MODERNIZAČNÍ FOND\VÝZVY - Záměry\VÝZVY\RES+\2022\"/>
    </mc:Choice>
  </mc:AlternateContent>
  <xr:revisionPtr revIDLastSave="0" documentId="13_ncr:1_{AB7B78DB-FB29-46DC-AA31-686DC1BF7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dnDotMax nad 1 MW" sheetId="4" r:id="rId1"/>
    <sheet name="Graf do 1 MW" sheetId="5" state="hidden" r:id="rId2"/>
    <sheet name="Graf nad 1 MW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4" l="1"/>
  <c r="C22" i="4" l="1"/>
  <c r="D16" i="4" l="1"/>
  <c r="H32" i="4" l="1"/>
  <c r="F32" i="4"/>
  <c r="B33" i="4" l="1"/>
  <c r="F31" i="4" s="1"/>
  <c r="F36" i="4" l="1"/>
  <c r="D14" i="4"/>
  <c r="C4" i="4" l="1"/>
  <c r="D4" i="4" l="1"/>
  <c r="G24" i="4" l="1"/>
  <c r="G25" i="4" s="1"/>
  <c r="D12" i="4"/>
  <c r="D11" i="4"/>
  <c r="C8" i="4"/>
  <c r="C6" i="4"/>
  <c r="H6" i="4" l="1"/>
  <c r="B10" i="4"/>
  <c r="H8" i="4"/>
  <c r="D6" i="4"/>
  <c r="C10" i="4"/>
  <c r="D8" i="4"/>
  <c r="H4" i="4"/>
  <c r="B18" i="4" l="1"/>
  <c r="H9" i="4"/>
  <c r="E6" i="4"/>
  <c r="F6" i="4" s="1"/>
  <c r="E4" i="4"/>
  <c r="E8" i="4"/>
  <c r="F8" i="4" s="1"/>
  <c r="D9" i="4"/>
  <c r="D10" i="4"/>
  <c r="B14" i="4" l="1"/>
  <c r="B16" i="4"/>
  <c r="H10" i="4"/>
  <c r="F4" i="4"/>
  <c r="F10" i="4" s="1"/>
  <c r="E10" i="4"/>
  <c r="B24" i="4" l="1"/>
  <c r="F39" i="4" s="1"/>
  <c r="B26" i="4" l="1"/>
  <c r="D26" i="4"/>
  <c r="G26" i="4"/>
  <c r="G27" i="4" s="1"/>
  <c r="F40" i="4" l="1"/>
  <c r="F37" i="4"/>
  <c r="B5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  <c r="B36" i="4" l="1"/>
  <c r="B39" i="4" s="1"/>
</calcChain>
</file>

<file path=xl/sharedStrings.xml><?xml version="1.0" encoding="utf-8"?>
<sst xmlns="http://schemas.openxmlformats.org/spreadsheetml/2006/main" count="55" uniqueCount="45">
  <si>
    <t>výkon kW</t>
  </si>
  <si>
    <t>Jednotková dotace (Kč/kW)</t>
  </si>
  <si>
    <t>pozemní</t>
  </si>
  <si>
    <t>střešní</t>
  </si>
  <si>
    <t>podpora</t>
  </si>
  <si>
    <r>
      <t xml:space="preserve">Střešní instalace FVE - </t>
    </r>
    <r>
      <rPr>
        <i/>
        <sz val="11"/>
        <color theme="1"/>
        <rFont val="Calibri"/>
        <family val="2"/>
        <charset val="238"/>
        <scheme val="minor"/>
      </rPr>
      <t>doplňte výkon v kW</t>
    </r>
  </si>
  <si>
    <r>
      <t xml:space="preserve">Kapacita akumulace - </t>
    </r>
    <r>
      <rPr>
        <i/>
        <sz val="11"/>
        <color theme="1"/>
        <rFont val="Calibri"/>
        <family val="2"/>
        <charset val="238"/>
        <scheme val="minor"/>
      </rPr>
      <t>doplňte kapacitu v kWh</t>
    </r>
  </si>
  <si>
    <r>
      <t xml:space="preserve">Pozemní instalace FVE - </t>
    </r>
    <r>
      <rPr>
        <i/>
        <sz val="11"/>
        <rFont val="Calibri"/>
        <family val="2"/>
        <charset val="238"/>
        <scheme val="minor"/>
      </rPr>
      <t xml:space="preserve">doplňte výkon v kW </t>
    </r>
  </si>
  <si>
    <t>holý vzorec, který nehlídá omezení kapacity, výkon nad 1000 kW, ani logaritmus 0</t>
  </si>
  <si>
    <t>max dotace z parametrů zadaných žadatelem (hlídá poměr C ku P a Pmin, ale nehlídá GBER a 50% celkových výdajů)</t>
  </si>
  <si>
    <t>Max. dotace (Kč)</t>
  </si>
  <si>
    <t>Velikost podniku:</t>
  </si>
  <si>
    <t>Malý podnik</t>
  </si>
  <si>
    <t>Praha</t>
  </si>
  <si>
    <t>Místo realizace projektu:</t>
  </si>
  <si>
    <t>Střední podnik</t>
  </si>
  <si>
    <t>Ostatní regiony</t>
  </si>
  <si>
    <t>Velký podnik</t>
  </si>
  <si>
    <t>zvolte velikost podniku</t>
  </si>
  <si>
    <t>Maximální jednotková dotace zohledňující místo realizace a velikosti podniku [Kč/kWp]</t>
  </si>
  <si>
    <t>Uveďte požadovanou výši jednotkové dotace [Kč/kWp]</t>
  </si>
  <si>
    <t>Maximální jednotková dotace dle technických parametrů FVE [Kč/kWp]</t>
  </si>
  <si>
    <t>Maximální výše dotace na FVE a bateriové úložiště při maximální jednotkové dotaci (Kč)</t>
  </si>
  <si>
    <t>Region a)</t>
  </si>
  <si>
    <t>Region c)</t>
  </si>
  <si>
    <t>zvolte region dle GBER</t>
  </si>
  <si>
    <t>Upravte hodnotu investičních nákladů na FVE a bateriové úložiště v Kč dle vašeho rozpočtu</t>
  </si>
  <si>
    <t>Maximální výše dotace na elektrolyzér zohledňující místo realizace a velikosti podniku (Kč)</t>
  </si>
  <si>
    <r>
      <t xml:space="preserve">Hodinová výroba elektrolyzéru - </t>
    </r>
    <r>
      <rPr>
        <i/>
        <sz val="11"/>
        <color theme="1"/>
        <rFont val="Calibri"/>
        <family val="2"/>
        <charset val="238"/>
        <scheme val="minor"/>
      </rPr>
      <t>doplňte výkonnost elektrolyzéru v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charset val="238"/>
        <scheme val="minor"/>
      </rPr>
      <t xml:space="preserve">/hod </t>
    </r>
  </si>
  <si>
    <r>
      <t>Vypočítaný přibližný příkon</t>
    </r>
    <r>
      <rPr>
        <i/>
        <sz val="11"/>
        <color theme="1"/>
        <rFont val="Calibri"/>
        <family val="2"/>
        <charset val="238"/>
        <scheme val="minor"/>
      </rPr>
      <t xml:space="preserve"> elektrolyzéru v kW </t>
    </r>
  </si>
  <si>
    <t>max. dotace elektrolyzér dle vzorec Hytep</t>
  </si>
  <si>
    <t>max. dotace elektrolyzér dle GBER</t>
  </si>
  <si>
    <t>max. dotace elektrolyzér dle max. dvojnásobek FVE</t>
  </si>
  <si>
    <t>Celková maximální dotace na projekt (Kč)</t>
  </si>
  <si>
    <t>max. dotace elektrolyzér dle max. 50% z celkových realizačních výdajů</t>
  </si>
  <si>
    <t>odhad způsobilých nákladů na elektrolyzér (Kč)</t>
  </si>
  <si>
    <t>odhad způsobilých nákladů na FVE a bateriové úložiště (Kč)</t>
  </si>
  <si>
    <t>Upravte hodnotu celkových investičních nákladů na elektrolyzér v Kč dle vašeho rozpočtu</t>
  </si>
  <si>
    <t>z toho způsobilých investičních nákladů dle vašeho rozpočtu v Kč</t>
  </si>
  <si>
    <t>- - -  vyberte  - - -</t>
  </si>
  <si>
    <t>Stanovení maximální dotace pro FVE nad 1 MWp</t>
  </si>
  <si>
    <t xml:space="preserve">A)  stanovení maximální jednotkové dotace pro FVE a bateriové úložiště dle bodu 4.1 výzvy vstupující do kritéria A multikriteriálního hodnocení projektů dle bodu 4.2.1 výzvy </t>
  </si>
  <si>
    <t xml:space="preserve">B)  stanovení maximální dotace pro elektrolyzér dle bodu 4.1 výzvy </t>
  </si>
  <si>
    <t>Max. výše dotace odpovídající zvolené jednotkové dotaci (Kč)</t>
  </si>
  <si>
    <t>z toho způsobilých nákladů na elektrolyzér v Kč dle vašeho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</si>
</sst>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rgb="FF0070C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0" fontId="0" fillId="2" borderId="0" xfId="0" applyFill="1" applyProtection="1">
      <protection hidden="1"/>
    </xf>
    <xf numFmtId="4" fontId="5" fillId="2" borderId="0" xfId="0" applyNumberFormat="1" applyFont="1" applyFill="1" applyProtection="1">
      <protection hidden="1"/>
    </xf>
    <xf numFmtId="0" fontId="0" fillId="2" borderId="0" xfId="0" applyFont="1" applyFill="1" applyAlignment="1" applyProtection="1">
      <alignment horizontal="right" vertical="center" indent="2"/>
      <protection hidden="1"/>
    </xf>
    <xf numFmtId="0" fontId="4" fillId="2" borderId="0" xfId="0" applyFont="1" applyFill="1" applyAlignment="1" applyProtection="1">
      <alignment horizontal="right" vertical="center" indent="2"/>
      <protection hidden="1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3" fontId="0" fillId="2" borderId="0" xfId="0" applyNumberFormat="1" applyFill="1" applyAlignment="1" applyProtection="1">
      <alignment horizontal="right" vertical="center" indent="1"/>
      <protection hidden="1"/>
    </xf>
    <xf numFmtId="3" fontId="4" fillId="3" borderId="0" xfId="0" applyNumberFormat="1" applyFont="1" applyFill="1" applyBorder="1" applyAlignment="1" applyProtection="1">
      <alignment horizontal="right" vertical="center" indent="1"/>
      <protection hidden="1"/>
    </xf>
    <xf numFmtId="0" fontId="6" fillId="2" borderId="0" xfId="0" applyFont="1" applyFill="1" applyAlignment="1" applyProtection="1">
      <alignment horizontal="right" vertical="center" indent="2"/>
      <protection hidden="1"/>
    </xf>
    <xf numFmtId="3" fontId="7" fillId="2" borderId="0" xfId="0" applyNumberFormat="1" applyFont="1" applyFill="1" applyBorder="1" applyProtection="1"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3" fontId="7" fillId="2" borderId="0" xfId="0" applyNumberFormat="1" applyFont="1" applyFill="1" applyAlignment="1" applyProtection="1">
      <alignment horizontal="right" vertical="center" indent="1"/>
      <protection hidden="1"/>
    </xf>
    <xf numFmtId="0" fontId="5" fillId="2" borderId="0" xfId="0" applyFont="1" applyFill="1" applyProtection="1">
      <protection hidden="1"/>
    </xf>
    <xf numFmtId="1" fontId="5" fillId="2" borderId="0" xfId="0" applyNumberFormat="1" applyFont="1" applyFill="1" applyProtection="1">
      <protection hidden="1"/>
    </xf>
    <xf numFmtId="3" fontId="5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0" fontId="5" fillId="2" borderId="0" xfId="0" applyFont="1" applyFill="1" applyBorder="1" applyProtection="1">
      <protection hidden="1"/>
    </xf>
    <xf numFmtId="3" fontId="5" fillId="2" borderId="0" xfId="0" applyNumberFormat="1" applyFont="1" applyFill="1" applyBorder="1" applyProtection="1">
      <protection hidden="1"/>
    </xf>
    <xf numFmtId="0" fontId="9" fillId="2" borderId="0" xfId="0" applyFont="1" applyFill="1" applyAlignment="1" applyProtection="1">
      <alignment horizontal="right" vertical="center" indent="2"/>
      <protection hidden="1"/>
    </xf>
    <xf numFmtId="3" fontId="9" fillId="2" borderId="0" xfId="0" applyNumberFormat="1" applyFont="1" applyFill="1" applyAlignment="1" applyProtection="1">
      <alignment horizontal="right" vertical="center" indent="1"/>
      <protection hidden="1"/>
    </xf>
    <xf numFmtId="3" fontId="8" fillId="3" borderId="0" xfId="0" applyNumberFormat="1" applyFont="1" applyFill="1" applyBorder="1" applyAlignment="1" applyProtection="1">
      <alignment horizontal="right" vertical="center" indent="1"/>
      <protection hidden="1"/>
    </xf>
    <xf numFmtId="0" fontId="7" fillId="2" borderId="0" xfId="0" applyFont="1" applyFill="1" applyBorder="1" applyAlignment="1" applyProtection="1">
      <alignment horizontal="right" vertical="center" indent="1"/>
      <protection hidden="1"/>
    </xf>
    <xf numFmtId="3" fontId="8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5" fillId="0" borderId="0" xfId="0" applyFont="1" applyBorder="1" applyProtection="1">
      <protection hidden="1"/>
    </xf>
    <xf numFmtId="3" fontId="3" fillId="3" borderId="0" xfId="0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1" fontId="1" fillId="2" borderId="0" xfId="0" applyNumberFormat="1" applyFont="1" applyFill="1" applyProtection="1">
      <protection hidden="1"/>
    </xf>
    <xf numFmtId="3" fontId="1" fillId="2" borderId="0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165" fontId="5" fillId="2" borderId="0" xfId="0" applyNumberFormat="1" applyFont="1" applyFill="1" applyBorder="1" applyProtection="1">
      <protection hidden="1"/>
    </xf>
    <xf numFmtId="3" fontId="0" fillId="2" borderId="0" xfId="0" applyNumberFormat="1" applyFill="1" applyBorder="1" applyAlignment="1" applyProtection="1">
      <alignment horizontal="right" vertical="center" indent="1"/>
      <protection locked="0" hidden="1"/>
    </xf>
    <xf numFmtId="0" fontId="0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right" wrapText="1" indent="1"/>
      <protection hidden="1"/>
    </xf>
    <xf numFmtId="0" fontId="5" fillId="2" borderId="0" xfId="0" applyFont="1" applyFill="1" applyAlignment="1" applyProtection="1">
      <alignment horizontal="right" vertical="center" indent="2"/>
      <protection hidden="1"/>
    </xf>
    <xf numFmtId="0" fontId="5" fillId="2" borderId="0" xfId="0" applyFont="1" applyFill="1" applyBorder="1" applyAlignment="1" applyProtection="1">
      <alignment horizontal="right" vertical="center" indent="1"/>
      <protection hidden="1"/>
    </xf>
    <xf numFmtId="3" fontId="15" fillId="3" borderId="0" xfId="0" applyNumberFormat="1" applyFont="1" applyFill="1" applyBorder="1" applyAlignment="1" applyProtection="1">
      <alignment horizontal="right" vertical="center" indent="1"/>
      <protection hidden="1"/>
    </xf>
    <xf numFmtId="3" fontId="1" fillId="2" borderId="0" xfId="0" applyNumberFormat="1" applyFont="1" applyFill="1" applyProtection="1">
      <protection hidden="1"/>
    </xf>
    <xf numFmtId="0" fontId="1" fillId="2" borderId="0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Protection="1">
      <protection hidden="1"/>
    </xf>
    <xf numFmtId="0" fontId="13" fillId="2" borderId="0" xfId="0" applyFont="1" applyFill="1" applyAlignment="1" applyProtection="1">
      <alignment horizontal="right" vertical="center" indent="2"/>
      <protection hidden="1"/>
    </xf>
    <xf numFmtId="165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Border="1" applyProtection="1">
      <protection hidden="1"/>
    </xf>
    <xf numFmtId="3" fontId="12" fillId="2" borderId="0" xfId="0" applyNumberFormat="1" applyFont="1" applyFill="1" applyBorder="1" applyProtection="1">
      <protection hidden="1"/>
    </xf>
    <xf numFmtId="3" fontId="12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3" fontId="15" fillId="4" borderId="0" xfId="0" applyNumberFormat="1" applyFont="1" applyFill="1" applyBorder="1" applyAlignment="1" applyProtection="1">
      <alignment horizontal="right" vertical="center" indent="1"/>
      <protection hidden="1"/>
    </xf>
    <xf numFmtId="0" fontId="19" fillId="2" borderId="0" xfId="0" applyFont="1" applyFill="1" applyBorder="1" applyAlignment="1" applyProtection="1">
      <alignment horizontal="left" vertical="center" indent="2"/>
      <protection hidden="1"/>
    </xf>
    <xf numFmtId="4" fontId="1" fillId="2" borderId="0" xfId="0" applyNumberFormat="1" applyFont="1" applyFill="1" applyProtection="1">
      <protection hidden="1"/>
    </xf>
    <xf numFmtId="3" fontId="20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20" fillId="2" borderId="0" xfId="0" applyNumberFormat="1" applyFont="1" applyFill="1" applyAlignment="1" applyProtection="1">
      <alignment horizontal="right" vertical="center" indent="1"/>
      <protection hidden="1"/>
    </xf>
    <xf numFmtId="0" fontId="20" fillId="2" borderId="0" xfId="0" applyFont="1" applyFill="1" applyAlignment="1" applyProtection="1">
      <alignment horizontal="right" vertical="center" indent="1"/>
      <protection hidden="1"/>
    </xf>
    <xf numFmtId="3" fontId="21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21" fillId="2" borderId="5" xfId="0" applyNumberFormat="1" applyFont="1" applyFill="1" applyBorder="1" applyAlignment="1" applyProtection="1">
      <alignment horizontal="right" vertical="center" indent="1"/>
      <protection hidden="1"/>
    </xf>
    <xf numFmtId="0" fontId="7" fillId="0" borderId="0" xfId="0" applyFont="1" applyAlignment="1" applyProtection="1">
      <alignment horizontal="right" vertical="center" indent="2"/>
      <protection hidden="1"/>
    </xf>
    <xf numFmtId="0" fontId="15" fillId="0" borderId="0" xfId="0" applyFont="1" applyAlignment="1" applyProtection="1">
      <alignment horizontal="right" vertical="center" indent="2"/>
      <protection hidden="1"/>
    </xf>
    <xf numFmtId="4" fontId="5" fillId="2" borderId="9" xfId="0" applyNumberFormat="1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3" fillId="2" borderId="9" xfId="0" applyFont="1" applyFill="1" applyBorder="1" applyAlignment="1" applyProtection="1">
      <alignment horizontal="left" vertical="center" indent="2"/>
      <protection hidden="1"/>
    </xf>
    <xf numFmtId="3" fontId="5" fillId="2" borderId="9" xfId="0" applyNumberFormat="1" applyFont="1" applyFill="1" applyBorder="1" applyAlignment="1" applyProtection="1">
      <protection hidden="1"/>
    </xf>
    <xf numFmtId="0" fontId="0" fillId="2" borderId="9" xfId="0" applyFill="1" applyBorder="1" applyAlignment="1"/>
    <xf numFmtId="0" fontId="7" fillId="2" borderId="0" xfId="0" applyFont="1" applyFill="1" applyAlignment="1" applyProtection="1">
      <alignment horizontal="right" vertical="center" indent="1"/>
      <protection hidden="1"/>
    </xf>
    <xf numFmtId="165" fontId="20" fillId="2" borderId="2" xfId="0" applyNumberFormat="1" applyFont="1" applyFill="1" applyBorder="1" applyAlignment="1" applyProtection="1">
      <alignment horizontal="right" vertical="center" indent="1"/>
      <protection locked="0" hidden="1"/>
    </xf>
    <xf numFmtId="4" fontId="1" fillId="2" borderId="0" xfId="0" applyNumberFormat="1" applyFont="1" applyFill="1" applyAlignment="1" applyProtection="1">
      <alignment horizontal="left" indent="2"/>
      <protection hidden="1"/>
    </xf>
    <xf numFmtId="0" fontId="1" fillId="2" borderId="0" xfId="0" applyFont="1" applyFill="1" applyAlignment="1" applyProtection="1">
      <alignment horizontal="left" indent="2"/>
      <protection hidden="1"/>
    </xf>
    <xf numFmtId="0" fontId="10" fillId="2" borderId="0" xfId="0" applyFont="1" applyFill="1" applyBorder="1" applyAlignment="1" applyProtection="1">
      <alignment horizontal="left" vertical="center" indent="2"/>
      <protection hidden="1"/>
    </xf>
    <xf numFmtId="3" fontId="3" fillId="2" borderId="0" xfId="0" applyNumberFormat="1" applyFont="1" applyFill="1" applyBorder="1" applyAlignment="1" applyProtection="1">
      <alignment horizontal="right" vertical="center" indent="1"/>
      <protection hidden="1"/>
    </xf>
    <xf numFmtId="0" fontId="0" fillId="2" borderId="0" xfId="0" applyFill="1" applyBorder="1" applyAlignment="1">
      <alignment horizontal="right" indent="1"/>
    </xf>
    <xf numFmtId="0" fontId="0" fillId="2" borderId="0" xfId="0" applyFont="1" applyFill="1" applyBorder="1" applyAlignment="1">
      <alignment horizontal="right" indent="1"/>
    </xf>
    <xf numFmtId="2" fontId="0" fillId="2" borderId="5" xfId="0" applyNumberFormat="1" applyFill="1" applyBorder="1" applyAlignment="1" applyProtection="1">
      <alignment horizontal="right" vertical="center" indent="1"/>
      <protection hidden="1"/>
    </xf>
    <xf numFmtId="2" fontId="0" fillId="2" borderId="5" xfId="0" applyNumberFormat="1" applyFill="1" applyBorder="1" applyAlignment="1" applyProtection="1">
      <alignment horizontal="right" indent="1"/>
      <protection hidden="1"/>
    </xf>
    <xf numFmtId="4" fontId="5" fillId="2" borderId="0" xfId="0" applyNumberFormat="1" applyFont="1" applyFill="1" applyBorder="1" applyProtection="1">
      <protection hidden="1"/>
    </xf>
    <xf numFmtId="3" fontId="1" fillId="2" borderId="0" xfId="0" applyNumberFormat="1" applyFont="1" applyFill="1" applyBorder="1" applyAlignment="1" applyProtection="1">
      <protection hidden="1"/>
    </xf>
    <xf numFmtId="0" fontId="1" fillId="0" borderId="0" xfId="0" applyFont="1" applyAlignment="1"/>
    <xf numFmtId="0" fontId="5" fillId="2" borderId="0" xfId="0" applyFont="1" applyFill="1" applyBorder="1" applyAlignment="1" applyProtection="1">
      <alignment horizontal="right" vertical="center" indent="1"/>
      <protection hidden="1"/>
    </xf>
    <xf numFmtId="0" fontId="0" fillId="0" borderId="0" xfId="0" applyFont="1" applyAlignment="1">
      <alignment horizontal="right" indent="1"/>
    </xf>
    <xf numFmtId="0" fontId="0" fillId="0" borderId="8" xfId="0" applyBorder="1" applyAlignment="1">
      <alignment horizontal="right" indent="1"/>
    </xf>
    <xf numFmtId="0" fontId="5" fillId="0" borderId="0" xfId="0" applyFont="1" applyAlignment="1" applyProtection="1">
      <alignment horizontal="right" indent="1"/>
      <protection hidden="1"/>
    </xf>
    <xf numFmtId="0" fontId="0" fillId="0" borderId="0" xfId="0" applyAlignment="1">
      <alignment horizontal="right" indent="1"/>
    </xf>
    <xf numFmtId="1" fontId="0" fillId="2" borderId="4" xfId="0" applyNumberFormat="1" applyFill="1" applyBorder="1" applyAlignment="1" applyProtection="1">
      <alignment horizontal="right" vertical="center" indent="1"/>
      <protection locked="0" hidden="1"/>
    </xf>
    <xf numFmtId="1" fontId="0" fillId="0" borderId="5" xfId="0" applyNumberForma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5" fillId="2" borderId="0" xfId="0" applyFont="1" applyFill="1" applyAlignment="1" applyProtection="1">
      <protection hidden="1"/>
    </xf>
    <xf numFmtId="0" fontId="0" fillId="0" borderId="0" xfId="0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4" fillId="5" borderId="0" xfId="0" applyFont="1" applyFill="1" applyAlignment="1" applyProtection="1">
      <alignment horizontal="right" vertical="center" indent="3"/>
      <protection hidden="1"/>
    </xf>
    <xf numFmtId="0" fontId="15" fillId="2" borderId="0" xfId="0" applyFont="1" applyFill="1" applyAlignment="1" applyProtection="1">
      <alignment horizontal="left" vertical="center" indent="1"/>
      <protection hidden="1"/>
    </xf>
    <xf numFmtId="0" fontId="18" fillId="0" borderId="0" xfId="0" applyFont="1" applyAlignment="1">
      <alignment horizontal="left" vertical="center" indent="1"/>
    </xf>
    <xf numFmtId="2" fontId="1" fillId="2" borderId="7" xfId="0" applyNumberFormat="1" applyFont="1" applyFill="1" applyBorder="1" applyAlignment="1" applyProtection="1">
      <protection hidden="1"/>
    </xf>
    <xf numFmtId="2" fontId="1" fillId="0" borderId="7" xfId="0" applyNumberFormat="1" applyFont="1" applyBorder="1" applyAlignment="1"/>
    <xf numFmtId="0" fontId="9" fillId="2" borderId="3" xfId="0" applyFont="1" applyFill="1" applyBorder="1" applyAlignment="1" applyProtection="1">
      <alignment horizontal="right" vertical="center"/>
      <protection hidden="1"/>
    </xf>
    <xf numFmtId="3" fontId="22" fillId="3" borderId="0" xfId="0" applyNumberFormat="1" applyFont="1" applyFill="1" applyBorder="1" applyAlignment="1" applyProtection="1">
      <alignment horizontal="right" vertical="center" indent="1"/>
      <protection hidden="1"/>
    </xf>
    <xf numFmtId="0" fontId="20" fillId="0" borderId="0" xfId="0" applyFont="1" applyAlignment="1">
      <alignment horizontal="right" vertical="center" indent="1"/>
    </xf>
    <xf numFmtId="0" fontId="0" fillId="0" borderId="0" xfId="0" applyBorder="1" applyAlignment="1"/>
    <xf numFmtId="0" fontId="0" fillId="0" borderId="1" xfId="0" applyBorder="1" applyAlignment="1"/>
    <xf numFmtId="49" fontId="1" fillId="2" borderId="0" xfId="0" applyNumberFormat="1" applyFont="1" applyFill="1" applyAlignment="1" applyProtection="1">
      <alignment horizontal="center" vertical="center"/>
      <protection locked="0" hidden="1"/>
    </xf>
    <xf numFmtId="0" fontId="1" fillId="2" borderId="0" xfId="0" applyFont="1" applyFill="1" applyProtection="1"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3874087656851"/>
          <c:y val="4.5116045998451607E-2"/>
          <c:w val="0.83586279301294231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790F-4A2D-A087-B11CBE429570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90F-4A2D-A087-B11CBE429570}"/>
              </c:ext>
            </c:extLst>
          </c:dPt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BE-4BDF-83C9-77E168F0E2AD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BE-4BDF-83C9-77E168F0E2AD}"/>
            </c:ext>
          </c:extLst>
        </c:ser>
        <c:ser>
          <c:idx val="2"/>
          <c:order val="2"/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'JednDotMax nad 1 MW'!$G$24:$G$25</c:f>
              <c:numCache>
                <c:formatCode>0</c:formatCode>
                <c:ptCount val="2"/>
                <c:pt idx="0" formatCode="#,##0">
                  <c:v>0</c:v>
                </c:pt>
                <c:pt idx="1">
                  <c:v>0</c:v>
                </c:pt>
              </c:numCache>
            </c:numRef>
          </c:xVal>
          <c:yVal>
            <c:numRef>
              <c:f>'JednDotMax nad 1 MW'!$F$24:$F$25</c:f>
              <c:numCache>
                <c:formatCode>General</c:formatCode>
                <c:ptCount val="2"/>
                <c:pt idx="0">
                  <c:v>7500</c:v>
                </c:pt>
                <c:pt idx="1">
                  <c:v>6200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BE-4BDF-83C9-77E168F0E2AD}"/>
            </c:ext>
          </c:extLst>
        </c:ser>
        <c:ser>
          <c:idx val="3"/>
          <c:order val="3"/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'JednDotMax nad 1 MW'!$F$26:$F$27</c:f>
              <c:numCache>
                <c:formatCode>General</c:formatCode>
                <c:ptCount val="2"/>
                <c:pt idx="0">
                  <c:v>0</c:v>
                </c:pt>
                <c:pt idx="1">
                  <c:v>100000</c:v>
                </c:pt>
              </c:numCache>
            </c:numRef>
          </c:xVal>
          <c:yVal>
            <c:numRef>
              <c:f>'JednDotMax nad 1 MW'!$G$26:$G$27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BE-4BDF-83C9-77E168F0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ax val="7500"/>
          <c:min val="6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4149074124355141"/>
          <c:y val="6.8679415073115854E-2"/>
          <c:w val="0.20337523473040561"/>
          <c:h val="0.1936923884514435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16" fmlaLink="$J$13" fmlaRange="$I$12:$I$15" noThreeD="1" sel="1" val="0"/>
</file>

<file path=xl/ctrlProps/ctrlProp2.xml><?xml version="1.0" encoding="utf-8"?>
<formControlPr xmlns="http://schemas.microsoft.com/office/spreadsheetml/2009/9/main" objectType="Drop" dropLines="4" dropStyle="combo" dx="16" fmlaLink="$J$17" fmlaRange="$I$16:$I$1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</xdr:row>
      <xdr:rowOff>0</xdr:rowOff>
    </xdr:from>
    <xdr:to>
      <xdr:col>9</xdr:col>
      <xdr:colOff>95250</xdr:colOff>
      <xdr:row>20</xdr:row>
      <xdr:rowOff>57150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</xdr:row>
          <xdr:rowOff>47625</xdr:rowOff>
        </xdr:from>
        <xdr:to>
          <xdr:col>1</xdr:col>
          <xdr:colOff>1295400</xdr:colOff>
          <xdr:row>14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28575</xdr:rowOff>
        </xdr:from>
        <xdr:to>
          <xdr:col>1</xdr:col>
          <xdr:colOff>1295400</xdr:colOff>
          <xdr:row>15</xdr:row>
          <xdr:rowOff>247650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R68"/>
  <sheetViews>
    <sheetView showGridLines="0" showRowColHeaders="0" tabSelected="1" workbookViewId="0">
      <selection activeCell="B39" sqref="B39"/>
    </sheetView>
  </sheetViews>
  <sheetFormatPr defaultColWidth="0" defaultRowHeight="15" zeroHeight="1" x14ac:dyDescent="0.25"/>
  <cols>
    <col min="1" max="1" width="85.42578125" style="31" customWidth="1"/>
    <col min="2" max="2" width="19.7109375" style="31" customWidth="1"/>
    <col min="3" max="3" width="57.85546875" style="31" customWidth="1"/>
    <col min="4" max="4" width="19.7109375" style="18" customWidth="1"/>
    <col min="5" max="8" width="5.7109375" style="18" customWidth="1"/>
    <col min="9" max="9" width="7" style="18" customWidth="1"/>
    <col min="10" max="10" width="5.7109375" style="18" customWidth="1"/>
    <col min="11" max="13" width="9.140625" style="6" hidden="1" customWidth="1"/>
    <col min="14" max="18" width="9.140625" style="10" hidden="1" customWidth="1"/>
    <col min="19" max="16384" width="9.140625" hidden="1"/>
  </cols>
  <sheetData>
    <row r="1" spans="1:18" ht="30" customHeight="1" x14ac:dyDescent="0.25">
      <c r="A1" s="96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8" ht="27" customHeight="1" x14ac:dyDescent="0.25">
      <c r="A2" s="97" t="s">
        <v>41</v>
      </c>
      <c r="B2" s="97"/>
      <c r="C2" s="97"/>
      <c r="D2" s="98"/>
      <c r="E2" s="98"/>
      <c r="F2" s="98"/>
      <c r="G2" s="98"/>
      <c r="H2" s="98"/>
      <c r="I2" s="98"/>
      <c r="J2" s="98"/>
    </row>
    <row r="3" spans="1:18" s="32" customFormat="1" ht="21" customHeight="1" thickBot="1" x14ac:dyDescent="0.3">
      <c r="A3" s="6"/>
      <c r="B3" s="6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1"/>
      <c r="O3" s="31"/>
      <c r="P3" s="31"/>
      <c r="Q3" s="31"/>
      <c r="R3" s="31"/>
    </row>
    <row r="4" spans="1:18" s="32" customFormat="1" ht="21" customHeight="1" thickBot="1" x14ac:dyDescent="0.3">
      <c r="A4" s="8" t="s">
        <v>7</v>
      </c>
      <c r="B4" s="59"/>
      <c r="C4" s="51">
        <f>IF(B4=0,0,(-304*LN(B4)+21400))</f>
        <v>0</v>
      </c>
      <c r="D4" s="44">
        <f>B4*C4*0.35</f>
        <v>0</v>
      </c>
      <c r="E4" s="44" t="e">
        <f>(D24/$B$10)*D4</f>
        <v>#VALUE!</v>
      </c>
      <c r="F4" s="51" t="e">
        <f>E4/B4/0.35</f>
        <v>#VALUE!</v>
      </c>
      <c r="G4" s="11"/>
      <c r="H4" s="44">
        <f>B4*C4</f>
        <v>0</v>
      </c>
      <c r="I4" s="11"/>
      <c r="J4" s="11"/>
      <c r="K4" s="18"/>
      <c r="L4" s="18"/>
      <c r="M4" s="18"/>
      <c r="N4" s="35"/>
      <c r="O4" s="31"/>
      <c r="P4" s="31"/>
      <c r="Q4" s="31"/>
      <c r="R4" s="31"/>
    </row>
    <row r="5" spans="1:18" s="32" customFormat="1" ht="12" customHeight="1" thickBot="1" x14ac:dyDescent="0.3">
      <c r="A5" s="8"/>
      <c r="B5" s="60"/>
      <c r="C5" s="51"/>
      <c r="D5" s="44"/>
      <c r="E5" s="44"/>
      <c r="F5" s="51"/>
      <c r="G5" s="11"/>
      <c r="H5" s="44"/>
      <c r="I5" s="11"/>
      <c r="J5" s="11"/>
      <c r="K5" s="18"/>
      <c r="L5" s="18"/>
      <c r="M5" s="18"/>
      <c r="N5" s="35"/>
      <c r="O5" s="31"/>
      <c r="P5" s="31"/>
      <c r="Q5" s="31"/>
      <c r="R5" s="31"/>
    </row>
    <row r="6" spans="1:18" s="32" customFormat="1" ht="21" customHeight="1" thickBot="1" x14ac:dyDescent="0.3">
      <c r="A6" s="8" t="s">
        <v>5</v>
      </c>
      <c r="B6" s="59"/>
      <c r="C6" s="51">
        <f>IF(B6=0,0,(-586.3*LN(B6)+24950))</f>
        <v>0</v>
      </c>
      <c r="D6" s="44">
        <f>B6*C6*0.35</f>
        <v>0</v>
      </c>
      <c r="E6" s="44" t="e">
        <f>(D24/$B$10)*D6</f>
        <v>#VALUE!</v>
      </c>
      <c r="F6" s="51" t="e">
        <f>E6/B6/0.35</f>
        <v>#VALUE!</v>
      </c>
      <c r="G6" s="11"/>
      <c r="H6" s="44">
        <f>B6*C6</f>
        <v>0</v>
      </c>
      <c r="I6" s="11"/>
      <c r="J6" s="11"/>
      <c r="K6" s="18"/>
      <c r="L6" s="18"/>
      <c r="M6" s="18"/>
      <c r="N6" s="35"/>
      <c r="O6" s="31"/>
      <c r="P6" s="31"/>
      <c r="Q6" s="31"/>
      <c r="R6" s="31"/>
    </row>
    <row r="7" spans="1:18" s="32" customFormat="1" ht="12" customHeight="1" thickBot="1" x14ac:dyDescent="0.3">
      <c r="A7" s="8"/>
      <c r="B7" s="61"/>
      <c r="C7" s="51"/>
      <c r="D7" s="44"/>
      <c r="E7" s="44"/>
      <c r="F7" s="51"/>
      <c r="G7" s="11"/>
      <c r="H7" s="11"/>
      <c r="I7" s="11"/>
      <c r="J7" s="11"/>
      <c r="K7" s="18"/>
      <c r="L7" s="18"/>
      <c r="M7" s="18"/>
      <c r="N7" s="35"/>
      <c r="O7" s="31"/>
      <c r="P7" s="31"/>
      <c r="Q7" s="31"/>
      <c r="R7" s="31"/>
    </row>
    <row r="8" spans="1:18" s="32" customFormat="1" ht="21" customHeight="1" thickBot="1" x14ac:dyDescent="0.3">
      <c r="A8" s="8" t="s">
        <v>6</v>
      </c>
      <c r="B8" s="59"/>
      <c r="C8" s="51">
        <f>IF(OR(B8&lt;0.2*(B4+B6),(B4+B6)=0),0,IF(AND(B8&gt;=0.2*(B4+B6),B8&lt;=0.6*(B4+B6)),-519.6*LN(B8)+24732,(-519.6*LN(0.6*(B4+B6))+24732)))</f>
        <v>0</v>
      </c>
      <c r="D8" s="44">
        <f>IF(OR(B8&lt;0.2*(B4+B6),(B4+B6)=0),0,IF(AND(B8&gt;=0.2*(B4+B6),B8&lt;=0.6*(B4+B6)),B8*C8*0.5,(B4+B6)*0.6*C8*0.5))</f>
        <v>0</v>
      </c>
      <c r="E8" s="44" t="e">
        <f>(D24/$B$10)*D8</f>
        <v>#VALUE!</v>
      </c>
      <c r="F8" s="51" t="e">
        <f>E8/B8/0.5</f>
        <v>#VALUE!</v>
      </c>
      <c r="G8" s="11"/>
      <c r="H8" s="44">
        <f>IF(OR(B8&lt;0.2*(B4+B6),(B4+B6)=0),0,IF(AND(B8&gt;=0.2*(B4+B6),B8&lt;=0.6*(B4+B6)),B8*C8,(B4+B6)*0.6*C8))</f>
        <v>0</v>
      </c>
      <c r="I8" s="11"/>
      <c r="J8" s="11"/>
      <c r="K8" s="18"/>
      <c r="L8" s="18"/>
      <c r="M8" s="18"/>
      <c r="N8" s="35"/>
      <c r="O8" s="31"/>
      <c r="P8" s="31"/>
      <c r="Q8" s="31"/>
      <c r="R8" s="31"/>
    </row>
    <row r="9" spans="1:18" s="32" customFormat="1" ht="12" customHeight="1" x14ac:dyDescent="0.25">
      <c r="A9" s="8"/>
      <c r="B9" s="6"/>
      <c r="C9" s="51"/>
      <c r="D9" s="44">
        <f>SUM(D4:D8)</f>
        <v>0</v>
      </c>
      <c r="E9" s="44"/>
      <c r="F9" s="51"/>
      <c r="G9" s="11"/>
      <c r="H9" s="44">
        <f>SUM($H$4:$H$8)</f>
        <v>0</v>
      </c>
      <c r="I9" s="11"/>
      <c r="J9" s="11"/>
      <c r="K9" s="18"/>
      <c r="L9" s="18"/>
      <c r="M9" s="18"/>
      <c r="N9" s="31"/>
      <c r="O9" s="31"/>
      <c r="P9" s="31"/>
      <c r="Q9" s="31"/>
      <c r="R9" s="31"/>
    </row>
    <row r="10" spans="1:18" s="32" customFormat="1" ht="21" customHeight="1" x14ac:dyDescent="0.25">
      <c r="A10" s="50" t="s">
        <v>21</v>
      </c>
      <c r="B10" s="13" t="str">
        <f>IF((B4+B6)&lt;=1000,"VÝKON DO 1 MW",IF(B8&lt;0.2*(B4+B6),0.35*((B4/(B4+B6))*C4+(B6/(B4+B6)*C6)),IF(AND(B8&gt;=0.2*(B4+B6),B8&lt;=0.6*(B4+B6)),0.35*((B4/(B4+B6))*C4+(B6/(B4+B6)*C6))+0.5*C8*B8/(B4+B6),0.35*((B4/(B4+B6))*C4+(B6/(B4+B6)*C6))+(-519.6*LN(0.6*(B4+B6))+24732)*0.5*0.6)))</f>
        <v>VÝKON DO 1 MW</v>
      </c>
      <c r="C10" s="52">
        <f>0.35*(C4+C6)+0.5*C8</f>
        <v>0</v>
      </c>
      <c r="D10" s="53" t="e">
        <f>IF(B8&lt;0.2*(B4+B6),(B4+B6)*B10,IF(AND(B8&gt;=0.2*(B4+B6),B8&lt;=0.6*(B4+B6)),(B10-(-519.6*LN(B8)+24732)*0.5*B8/(B4+B6))*(B4+B6)+(-519.6*LN(B8)+24732)*0.5*B8,(B10-(-519.6*LN(0.6*(B4+B6))+24732)*0.5*0.6)*(B4+B6)+(-519.6*LN(0.6*(B4+B6))+24732)*0.5*0.6*(B4+B6)))</f>
        <v>#VALUE!</v>
      </c>
      <c r="E10" s="54" t="e">
        <f>SUM(E4:E8)</f>
        <v>#VALUE!</v>
      </c>
      <c r="F10" s="51" t="e">
        <f>0.35*(F4+F6)+0.5*F8</f>
        <v>#VALUE!</v>
      </c>
      <c r="G10" s="11"/>
      <c r="H10" s="55" t="e">
        <f>D10/H9</f>
        <v>#VALUE!</v>
      </c>
      <c r="I10" s="11"/>
      <c r="J10" s="11"/>
      <c r="K10" s="18"/>
      <c r="L10" s="18"/>
      <c r="M10" s="18"/>
      <c r="N10" s="31"/>
      <c r="O10" s="31"/>
      <c r="P10" s="31"/>
      <c r="Q10" s="31"/>
      <c r="R10" s="31"/>
    </row>
    <row r="11" spans="1:18" s="32" customFormat="1" ht="6" customHeight="1" x14ac:dyDescent="0.25">
      <c r="A11" s="9"/>
      <c r="B11" s="36"/>
      <c r="C11" s="52"/>
      <c r="D11" s="53" t="e">
        <f>0.5*B8*(-519.6*LN(B8)+24732)+0.35*B4*(-304*LN(B4)+21400)+0.35*B6*(-586.3*LN(B6)+24950)</f>
        <v>#NUM!</v>
      </c>
      <c r="E11" s="51" t="s">
        <v>8</v>
      </c>
      <c r="F11" s="51"/>
      <c r="G11" s="11"/>
      <c r="H11" s="44"/>
      <c r="I11" s="11"/>
      <c r="J11" s="11"/>
      <c r="K11" s="18"/>
      <c r="L11" s="18"/>
      <c r="M11" s="18"/>
      <c r="N11" s="31"/>
      <c r="O11" s="31"/>
      <c r="P11" s="31"/>
      <c r="Q11" s="31"/>
      <c r="R11" s="31"/>
    </row>
    <row r="12" spans="1:18" s="32" customFormat="1" ht="6" customHeight="1" x14ac:dyDescent="0.25">
      <c r="A12" s="9"/>
      <c r="B12" s="22"/>
      <c r="C12" s="45"/>
      <c r="D12" s="53">
        <f>IF(OR(B8&lt;0.2*(B4+B6),(B4+B6)&lt;=1000),0,IF(AND(B8&gt;=0.2*(B4+B6),B8&lt;=0.6*(B4+B6),(B4+B6)&gt;1000),0.5*B8*(-519.6*LN(B8)+24732),0.5*0.6*(B4+B6)*(-519.6*LN(0.6*(B4+B6))+24732)))+IF(AND((B4+B6)&gt;1000,B4*B6&lt;&gt;0),0.35*B4*(-304*LN(B4)+21400)+0.35*B6*(-586.3*LN(B6)+24950),IF(AND((B4+B6)&gt;1000,B6=0),0.35*B4*(-304*LN(B4)+21400),IF(AND((B4+B6)&gt;1000,B4=0),0.35*B6*(-586.3*LN(B6)+24950),IF((B4+B6)&lt;=1000,0))))</f>
        <v>0</v>
      </c>
      <c r="E12" s="11" t="s">
        <v>9</v>
      </c>
      <c r="F12" s="11"/>
      <c r="G12" s="11"/>
      <c r="H12" s="11"/>
      <c r="I12" s="106" t="s">
        <v>39</v>
      </c>
      <c r="J12" s="107"/>
      <c r="K12" s="18"/>
      <c r="L12" s="18"/>
      <c r="M12" s="18"/>
      <c r="N12" s="31"/>
      <c r="O12" s="31"/>
      <c r="P12" s="31"/>
      <c r="Q12" s="31"/>
      <c r="R12" s="31"/>
    </row>
    <row r="13" spans="1:18" s="32" customFormat="1" ht="6" customHeight="1" x14ac:dyDescent="0.25">
      <c r="A13" s="21"/>
      <c r="B13" s="22"/>
      <c r="C13" s="45"/>
      <c r="D13" s="45" t="s">
        <v>10</v>
      </c>
      <c r="E13" s="11"/>
      <c r="F13" s="44"/>
      <c r="G13" s="11"/>
      <c r="H13" s="46" t="s">
        <v>11</v>
      </c>
      <c r="I13" s="107" t="s">
        <v>12</v>
      </c>
      <c r="J13" s="107">
        <v>1</v>
      </c>
      <c r="K13" s="18"/>
      <c r="L13" s="18"/>
      <c r="M13" s="18"/>
      <c r="N13" s="31"/>
      <c r="O13" s="31"/>
      <c r="P13" s="31"/>
      <c r="Q13" s="31"/>
      <c r="R13" s="31"/>
    </row>
    <row r="14" spans="1:18" s="32" customFormat="1" ht="21" customHeight="1" x14ac:dyDescent="0.25">
      <c r="A14" s="21" t="s">
        <v>18</v>
      </c>
      <c r="B14" s="23" t="e">
        <f>IF(B8&lt;0.2*(B4+B6),D14/(B4+B6),IF(AND(B8&gt;=0.2*(B4+B6),B8&lt;=0.6*(B4+B6)),(D14-((-519.6*LN(B8)+24732)*(D14/D10)*0.5*B8))/(B4+B6)+(-519.6*LN(B8)+24732)*(D14/D10)*0.5*B8/(B4+B6),(D14-((-519.6*LN((B4+B6)*0.6)+24732)*(D14/D10)*0.5*(B4+B6)*0.6))/(B4+B6)+(-519.6*LN((B4+B6)*0.6)+24732)*(D14/D10)*0.5*0.6))</f>
        <v>#NUM!</v>
      </c>
      <c r="C14" s="45"/>
      <c r="D14" s="34">
        <f>IF(OR(B4+B6&lt;=1000,B22&lt;=(B4+B6)*2022.7),0,IF(AND((B4+B6)&gt;1000,(B4+B6)&lt;=10000),I25/100*(B22-(B4+B6)*1249.1),I25/100*(B22-(B4+B6)*2022.7)))</f>
        <v>0</v>
      </c>
      <c r="E14" s="44"/>
      <c r="F14" s="44"/>
      <c r="G14" s="11"/>
      <c r="H14" s="11"/>
      <c r="I14" s="107" t="s">
        <v>15</v>
      </c>
      <c r="J14" s="107"/>
      <c r="K14" s="18"/>
      <c r="L14" s="18"/>
      <c r="M14" s="18"/>
      <c r="N14" s="31"/>
      <c r="O14" s="31"/>
      <c r="P14" s="31"/>
      <c r="Q14" s="31"/>
      <c r="R14" s="31"/>
    </row>
    <row r="15" spans="1:18" s="32" customFormat="1" ht="12" customHeight="1" x14ac:dyDescent="0.25">
      <c r="A15" s="21"/>
      <c r="B15" s="23"/>
      <c r="C15" s="45"/>
      <c r="D15" s="34"/>
      <c r="E15" s="45"/>
      <c r="F15" s="45"/>
      <c r="G15" s="11"/>
      <c r="H15" s="11"/>
      <c r="I15" s="107" t="s">
        <v>17</v>
      </c>
      <c r="J15" s="107"/>
      <c r="K15" s="18"/>
      <c r="L15" s="18" t="s">
        <v>12</v>
      </c>
      <c r="M15" s="18">
        <v>7</v>
      </c>
      <c r="N15" s="31" t="s">
        <v>13</v>
      </c>
      <c r="O15" s="31">
        <v>1</v>
      </c>
      <c r="P15" s="31"/>
      <c r="Q15" s="31"/>
      <c r="R15" s="31"/>
    </row>
    <row r="16" spans="1:18" s="32" customFormat="1" ht="21" customHeight="1" x14ac:dyDescent="0.25">
      <c r="A16" s="21" t="s">
        <v>25</v>
      </c>
      <c r="B16" s="23" t="e">
        <f>IF(B8&lt;0.2*(B4+B6),D16/(B4+B6),IF(AND(B8&gt;=0.2*(B4+B6),B8&lt;=0.6*(B4+B6)),(D16-((-519.6*LN(B8)+24732)*(D16/D10)*0.5*B8))/(B4+B6)+(-519.6*LN(B8)+24732)*(D16/D10)*0.5*B8/(B4+B6),(D16-((-519.6*LN((B4+B6)*0.6)+24732)*(D16/D10)*0.5*(B4+B6)*0.6))/(B4+B6)+(-519.6*LN((B4+B6)*0.6)+24732)*(D16/D10)*0.5*0.6))</f>
        <v>#NUM!</v>
      </c>
      <c r="C16" s="45"/>
      <c r="D16" s="34">
        <f>0.5*B20</f>
        <v>0</v>
      </c>
      <c r="E16" s="44"/>
      <c r="F16" s="45"/>
      <c r="G16" s="11"/>
      <c r="H16" s="46" t="s">
        <v>14</v>
      </c>
      <c r="I16" s="106" t="s">
        <v>39</v>
      </c>
      <c r="J16" s="107"/>
      <c r="K16" s="18"/>
      <c r="L16" s="18" t="s">
        <v>15</v>
      </c>
      <c r="M16" s="18"/>
      <c r="N16" s="31" t="s">
        <v>16</v>
      </c>
      <c r="O16" s="31"/>
      <c r="P16" s="31"/>
      <c r="Q16" s="31"/>
      <c r="R16" s="31"/>
    </row>
    <row r="17" spans="1:18" s="32" customFormat="1" ht="12" customHeight="1" x14ac:dyDescent="0.25">
      <c r="A17" s="21"/>
      <c r="B17" s="23"/>
      <c r="C17" s="45"/>
      <c r="D17" s="34"/>
      <c r="E17" s="44"/>
      <c r="F17" s="45"/>
      <c r="G17" s="11"/>
      <c r="H17" s="46"/>
      <c r="I17" s="107" t="s">
        <v>13</v>
      </c>
      <c r="J17" s="107">
        <v>1</v>
      </c>
      <c r="K17" s="18"/>
      <c r="L17" s="18"/>
      <c r="M17" s="18"/>
      <c r="N17" s="31"/>
      <c r="O17" s="31"/>
      <c r="P17" s="31"/>
      <c r="Q17" s="31"/>
      <c r="R17" s="31"/>
    </row>
    <row r="18" spans="1:18" s="32" customFormat="1" ht="21" customHeight="1" x14ac:dyDescent="0.25">
      <c r="A18" s="24" t="s">
        <v>36</v>
      </c>
      <c r="B18" s="25">
        <f>SUM($H$4:$H$8)</f>
        <v>0</v>
      </c>
      <c r="C18" s="45"/>
      <c r="D18" s="34"/>
      <c r="E18" s="44"/>
      <c r="F18" s="45"/>
      <c r="G18" s="11"/>
      <c r="H18" s="46"/>
      <c r="I18" s="107" t="s">
        <v>23</v>
      </c>
      <c r="J18" s="107"/>
      <c r="K18" s="18"/>
      <c r="L18" s="18"/>
      <c r="M18" s="18"/>
      <c r="N18" s="31"/>
      <c r="O18" s="31"/>
      <c r="P18" s="31"/>
      <c r="Q18" s="31"/>
      <c r="R18" s="31"/>
    </row>
    <row r="19" spans="1:18" s="32" customFormat="1" ht="12" customHeight="1" thickBot="1" x14ac:dyDescent="0.3">
      <c r="A19" s="24"/>
      <c r="B19" s="25"/>
      <c r="C19" s="45"/>
      <c r="D19" s="34"/>
      <c r="E19" s="44"/>
      <c r="F19" s="45"/>
      <c r="G19" s="11"/>
      <c r="H19" s="46"/>
      <c r="I19" s="107" t="s">
        <v>24</v>
      </c>
      <c r="J19" s="107"/>
      <c r="K19" s="18"/>
      <c r="L19" s="18"/>
      <c r="M19" s="18"/>
      <c r="N19" s="31"/>
      <c r="O19" s="31"/>
      <c r="P19" s="31"/>
      <c r="Q19" s="31"/>
      <c r="R19" s="31"/>
    </row>
    <row r="20" spans="1:18" s="32" customFormat="1" ht="21" customHeight="1" thickBot="1" x14ac:dyDescent="0.3">
      <c r="A20" s="41" t="s">
        <v>26</v>
      </c>
      <c r="B20" s="62"/>
      <c r="C20" s="45"/>
      <c r="D20" s="34"/>
      <c r="E20" s="44"/>
      <c r="F20" s="45"/>
      <c r="G20" s="11"/>
      <c r="H20" s="46"/>
      <c r="I20" s="11"/>
      <c r="J20" s="11"/>
      <c r="K20" s="18"/>
      <c r="L20" s="18"/>
      <c r="M20" s="18"/>
      <c r="N20" s="31"/>
      <c r="O20" s="31"/>
      <c r="P20" s="31"/>
      <c r="Q20" s="31"/>
      <c r="R20" s="31"/>
    </row>
    <row r="21" spans="1:18" s="32" customFormat="1" ht="12" customHeight="1" thickBot="1" x14ac:dyDescent="0.3">
      <c r="A21" s="41"/>
      <c r="B21" s="63"/>
      <c r="C21" s="45"/>
      <c r="D21" s="34"/>
      <c r="E21" s="44"/>
      <c r="F21" s="45"/>
      <c r="G21" s="11"/>
      <c r="H21" s="46"/>
      <c r="I21" s="11"/>
      <c r="J21" s="11"/>
      <c r="K21" s="18"/>
      <c r="L21" s="18"/>
      <c r="M21" s="18"/>
      <c r="N21" s="31"/>
      <c r="O21" s="31"/>
      <c r="P21" s="31"/>
      <c r="Q21" s="31"/>
      <c r="R21" s="31"/>
    </row>
    <row r="22" spans="1:18" s="32" customFormat="1" ht="21" customHeight="1" thickBot="1" x14ac:dyDescent="0.3">
      <c r="A22" s="41" t="s">
        <v>38</v>
      </c>
      <c r="B22" s="62"/>
      <c r="C22" s="57" t="str">
        <f>IF(B22&gt;B20,"ZPŮSOBILÉ NÁKLADY NESMÍ PŘEVÝŠIT CELKOVÉ!","")</f>
        <v/>
      </c>
      <c r="D22" s="23"/>
      <c r="E22" s="20"/>
      <c r="F22" s="45"/>
      <c r="G22" s="11"/>
      <c r="H22" s="46"/>
      <c r="I22" s="11"/>
      <c r="J22" s="11"/>
      <c r="K22" s="18"/>
      <c r="L22" s="18"/>
      <c r="M22" s="18"/>
      <c r="N22" s="31"/>
      <c r="O22" s="31"/>
      <c r="P22" s="31"/>
      <c r="Q22" s="31"/>
      <c r="R22" s="31"/>
    </row>
    <row r="23" spans="1:18" s="32" customFormat="1" ht="21.75" customHeight="1" thickBot="1" x14ac:dyDescent="0.3">
      <c r="A23" s="40"/>
      <c r="B23" s="81"/>
      <c r="C23" s="22"/>
      <c r="D23" s="22"/>
      <c r="E23" s="22"/>
      <c r="F23" s="45"/>
      <c r="G23" s="11"/>
      <c r="H23" s="11"/>
      <c r="I23" s="11"/>
      <c r="J23" s="11"/>
      <c r="K23" s="18"/>
      <c r="L23" s="18" t="s">
        <v>17</v>
      </c>
      <c r="M23" s="18"/>
      <c r="N23" s="31"/>
      <c r="O23" s="31"/>
      <c r="P23" s="31"/>
      <c r="Q23" s="31"/>
      <c r="R23" s="31"/>
    </row>
    <row r="24" spans="1:18" ht="21" customHeight="1" thickBot="1" x14ac:dyDescent="0.3">
      <c r="A24" s="40" t="s">
        <v>19</v>
      </c>
      <c r="B24" s="26" t="e">
        <f>FLOOR(MIN(B10,B14,B16),1)</f>
        <v>#NUM!</v>
      </c>
      <c r="C24" s="27" t="s">
        <v>20</v>
      </c>
      <c r="D24" s="28"/>
      <c r="F24" s="11">
        <v>7500</v>
      </c>
      <c r="G24" s="44">
        <f>$B$4+$B$6</f>
        <v>0</v>
      </c>
      <c r="H24" s="11"/>
      <c r="I24" s="11"/>
      <c r="J24" s="11"/>
    </row>
    <row r="25" spans="1:18" ht="18" customHeight="1" x14ac:dyDescent="0.25">
      <c r="A25" s="29"/>
      <c r="B25" s="23"/>
      <c r="C25" s="22"/>
      <c r="D25" s="22"/>
      <c r="E25" s="22"/>
      <c r="F25" s="11">
        <v>6200</v>
      </c>
      <c r="G25" s="33">
        <f>G24</f>
        <v>0</v>
      </c>
      <c r="H25" s="47"/>
      <c r="I25" s="48" t="str">
        <f>IF((J13=2)*AND(J17=2),"65",IF((J13=3)*AND(J17=2),"55",IF((J13=4)*AND(J17=2),"45",IF((J13=2)*AND(J17=3),"80",IF((J13=3)*AND(J17=3),"70",IF((J13=4)*AND(J17=3),"60",IF((J13=2)*AND(J17=4),"70",IF((J13=3)*AND(J17=4),"60",IF((J13=4)*AND(J17=4),"50","")))))))))</f>
        <v/>
      </c>
      <c r="J25" s="49"/>
    </row>
    <row r="26" spans="1:18" ht="21" customHeight="1" x14ac:dyDescent="0.25">
      <c r="A26" s="39" t="s">
        <v>22</v>
      </c>
      <c r="B26" s="30" t="e">
        <f>IF($B$8&lt;0.2*($B$4+$B$6),($B$4+$B$6)*$B$24,IF(AND($B$8&gt;=0.2*($B$4+$B$6),$B$8&lt;=0.6*($B$4+$B$6)),($B$24-((-519.6*LN($B$8)+24732)*($B$24/$B$10)*0.5*$B$8/($B$4+$B$6)))*($B$4+$B$6)+(-519.6*LN($B$8)+24732)*($B$24/$B$10)*0.5*$B$8,($B$24-((-519.6*LN(($B$4+$B$6)*0.6)+24732)*($B$24/$B$10)*0.5*0.6))*($B$4+$B$6)+(-519.6*LN(($B$4+$B$6)*0.6)+24732)*($B$24/$B$10)*0.5*($B$4+$B$6)*0.6))</f>
        <v>#NUM!</v>
      </c>
      <c r="C26" s="71" t="s">
        <v>43</v>
      </c>
      <c r="D26" s="56" t="e">
        <f>IF(D24&gt;B24, "PŘEKROČEN LIMIT",IF(B8&lt;0.2*(B4+B6),(B4+B6)*D24,IF(AND(B8&gt;=0.2*(B4+B6),B8&lt;=0.6*(B4+B6)),(D24-(-519.6*LN(B8)+24732)*0.5*D24/B10*B8/(B4+B6))*(B4+B6)+(-519.6*LN(B8)+24732)*0.5*B8*D24/B10,(D24-(-519.6*LN(0.6*(B4+B6))+24732)*0.5*D24/B10*0.6)*(B4+B6)+(-519.6*LN(0.6*(B4+B6))+24732)*0.5*0.6*(B4+B6)*D24/B10)))</f>
        <v>#NUM!</v>
      </c>
      <c r="E26" s="22"/>
      <c r="F26" s="11">
        <v>0</v>
      </c>
      <c r="G26" s="33" t="e">
        <f>$B$24</f>
        <v>#NUM!</v>
      </c>
      <c r="H26" s="58"/>
      <c r="I26" s="11"/>
      <c r="J26" s="11"/>
    </row>
    <row r="27" spans="1:18" ht="12.75" customHeight="1" x14ac:dyDescent="0.25">
      <c r="A27" s="16"/>
      <c r="B27" s="17"/>
      <c r="C27" s="7"/>
      <c r="F27" s="11">
        <v>100000</v>
      </c>
      <c r="G27" s="33" t="e">
        <f>G26</f>
        <v>#NUM!</v>
      </c>
      <c r="H27" s="11"/>
      <c r="I27" s="11"/>
      <c r="J27" s="11"/>
    </row>
    <row r="28" spans="1:18" ht="12.75" customHeight="1" x14ac:dyDescent="0.25">
      <c r="A28" s="16"/>
      <c r="B28" s="17"/>
      <c r="C28" s="7"/>
      <c r="D28" s="23"/>
      <c r="F28" s="11"/>
      <c r="G28" s="33"/>
      <c r="H28" s="11"/>
      <c r="I28" s="11"/>
      <c r="J28" s="11"/>
    </row>
    <row r="29" spans="1:18" ht="21" customHeight="1" x14ac:dyDescent="0.25">
      <c r="A29" s="97" t="s">
        <v>42</v>
      </c>
      <c r="B29" s="97"/>
      <c r="C29" s="97"/>
      <c r="D29" s="98"/>
      <c r="E29" s="98"/>
      <c r="F29" s="98"/>
      <c r="G29" s="98"/>
      <c r="H29" s="98"/>
      <c r="I29" s="98"/>
      <c r="J29" s="98"/>
    </row>
    <row r="30" spans="1:18" ht="21" customHeight="1" thickBot="1" x14ac:dyDescent="0.3">
      <c r="A30" s="16"/>
      <c r="B30" s="17"/>
      <c r="C30" s="7"/>
      <c r="F30" s="92"/>
      <c r="G30" s="93"/>
      <c r="H30" s="93"/>
      <c r="I30" s="93"/>
    </row>
    <row r="31" spans="1:18" ht="21" customHeight="1" thickBot="1" x14ac:dyDescent="0.3">
      <c r="A31" s="38" t="s">
        <v>28</v>
      </c>
      <c r="B31" s="72"/>
      <c r="C31" s="101" t="s">
        <v>35</v>
      </c>
      <c r="D31" s="93"/>
      <c r="F31" s="102" t="str">
        <f>IF(OR(B31&lt;20,B31&gt;10000,B33&lt;0.1*(B4+B6)),"MIMO DANÝ  ROZSAH",IF(AND(B31&lt;=200,B33&lt;=(B4+B6-B8),B33&lt;=0.6*(B4+B6)),(1754822.82*B31^0.69),IF(AND(B31&lt;=200,B33&lt;=(B4+B6-B8),B33&gt;0.6*(B4+B6)),1754822.82*((0.6*(B4+B6)/6.2807)^(1/0.959))^0.69,IF(AND(B31&lt;=200,B33&gt;(B4+B6-B8),B33&lt;=0.4*(B4+B6),B8&gt;0.6*(B4+B6)),(1754822.82*B31^0.69),IF(AND(B31&lt;=200,B33&gt;(B4+B6-B8),B33&gt;0.4*(B4+B6),B8&gt;0.6*(B4+B6)),1754822.82*(((0.4*(B4+B6))/6.2807)^(1/0.959))^0.69,IF(AND(B31&lt;=200,B33&gt;(B4+B6-B8),B8&lt;=0.6*(B4+B6),B8&gt;=0.4*(B4+B6)),1754822.82*(((B4+B6-B8)/6.2807)^(1/0.959))^0.69,IF(AND(B31&lt;=200,B33&gt;(B4+B6-B8),B8&lt;0.4*(B4+B6)),1754822.82*((0.6*(B4+B6)/6.2807)^(1/0.959))^0.69,IF(AND(B31&gt;200,B33&lt;=(B4+B6-B8),B33&lt;=0.6*(B4+B6)),(1559103.03*B31^0.71),IF(AND(B31&gt;200,B33&lt;=(B4+B6-B8),B33&gt;0.6*(B4+B6)),1559103.03*((0.6*(B4+B6)/6.2807)^(1/0.959))^0.71,IF(AND(B31&gt;200,B33&gt;(B4+B6-B8),B33&lt;=0.4*(B4+B6),B8&gt;0.6*(B4+B6)),(1559103.03*B31^0.71),IF(AND(B31&gt;200,B33&gt;(B4+B6-B8),B33&gt;0.4*(B4+B6),B8&gt;0.6*(B4+B6)),1559103.03*(((0.4*(B4+B6))/6.2807)^(1/0.959))^0.71,IF(AND(B31&gt;200,B33&gt;(B4+B6-B8),B8&lt;=0.6*(B4+B6),B8&gt;=0.4*(B4+B6)),1559103.03*(((B4+B6-B8)/6.2807)^(1/0.959))^0.71,IF(AND(B31&gt;200,B33&gt;(B4+B6-B8),B8&lt;0.4*(B4+B6)),1559103.03*((0.6*(B4+B6)/6.2807)^(1/0.959))^0.71,0)))))))))))))</f>
        <v>MIMO DANÝ  ROZSAH</v>
      </c>
      <c r="G31" s="103"/>
      <c r="H31" s="103"/>
      <c r="I31" s="103"/>
    </row>
    <row r="32" spans="1:18" ht="21" customHeight="1" thickBot="1" x14ac:dyDescent="0.3">
      <c r="A32" s="8"/>
      <c r="B32" s="12"/>
      <c r="C32" s="39"/>
      <c r="D32" s="7"/>
      <c r="F32" s="34">
        <f>6.2807*B31^0.959</f>
        <v>0</v>
      </c>
      <c r="G32" s="34"/>
      <c r="H32" s="99" t="e">
        <f>(0.6*(B4+B6)-B8)/(6.2807*B31^0.959)</f>
        <v>#DIV/0!</v>
      </c>
      <c r="I32" s="100"/>
    </row>
    <row r="33" spans="1:10" ht="21" customHeight="1" thickBot="1" x14ac:dyDescent="0.3">
      <c r="A33" s="38" t="s">
        <v>29</v>
      </c>
      <c r="B33" s="30">
        <f>6.2807*B31^0.959</f>
        <v>0</v>
      </c>
      <c r="C33" s="84" t="s">
        <v>37</v>
      </c>
      <c r="D33" s="85"/>
      <c r="E33" s="86"/>
      <c r="F33" s="89"/>
      <c r="G33" s="90"/>
      <c r="H33" s="90"/>
      <c r="I33" s="91"/>
    </row>
    <row r="34" spans="1:10" ht="12" customHeight="1" thickBot="1" x14ac:dyDescent="0.3">
      <c r="A34" s="38"/>
      <c r="B34" s="76"/>
      <c r="C34" s="42"/>
      <c r="D34" s="78"/>
      <c r="E34" s="77"/>
      <c r="F34" s="79"/>
      <c r="G34" s="79"/>
      <c r="H34" s="79"/>
      <c r="I34" s="80"/>
    </row>
    <row r="35" spans="1:10" ht="21" customHeight="1" thickBot="1" x14ac:dyDescent="0.3">
      <c r="A35" s="8"/>
      <c r="B35" s="37"/>
      <c r="C35" s="87" t="s">
        <v>44</v>
      </c>
      <c r="D35" s="88"/>
      <c r="E35" s="88"/>
      <c r="F35" s="89"/>
      <c r="G35" s="90"/>
      <c r="H35" s="90"/>
      <c r="I35" s="91"/>
    </row>
    <row r="36" spans="1:10" ht="21" customHeight="1" x14ac:dyDescent="0.25">
      <c r="A36" s="64" t="s">
        <v>27</v>
      </c>
      <c r="B36" s="43" t="e">
        <f>MIN(F36:H40)</f>
        <v>#VALUE!</v>
      </c>
      <c r="C36" s="73" t="s">
        <v>30</v>
      </c>
      <c r="D36" s="74"/>
      <c r="E36" s="11"/>
      <c r="F36" s="82" t="e">
        <f>0.5*F31</f>
        <v>#VALUE!</v>
      </c>
      <c r="G36" s="94"/>
      <c r="H36" s="94"/>
      <c r="I36" s="11"/>
    </row>
    <row r="37" spans="1:10" ht="21" customHeight="1" thickBot="1" x14ac:dyDescent="0.3">
      <c r="A37" s="7"/>
      <c r="C37" s="75" t="s">
        <v>31</v>
      </c>
      <c r="D37" s="75"/>
      <c r="E37" s="11"/>
      <c r="F37" s="82" t="e">
        <f>IF(D14&gt;D26,I25/100*F35+D14-D26,I25/100*F35)</f>
        <v>#NUM!</v>
      </c>
      <c r="G37" s="95"/>
      <c r="H37" s="95"/>
      <c r="I37" s="11"/>
    </row>
    <row r="38" spans="1:10" ht="21" customHeight="1" thickTop="1" x14ac:dyDescent="0.25">
      <c r="A38" s="66"/>
      <c r="B38" s="67"/>
      <c r="C38" s="68"/>
      <c r="D38" s="68"/>
      <c r="E38" s="67"/>
      <c r="F38" s="69"/>
      <c r="G38" s="70"/>
      <c r="H38" s="70"/>
      <c r="I38" s="67"/>
      <c r="J38" s="67"/>
    </row>
    <row r="39" spans="1:10" ht="21" customHeight="1" x14ac:dyDescent="0.25">
      <c r="A39" s="65" t="s">
        <v>33</v>
      </c>
      <c r="B39" s="43" t="e">
        <f>B36+D26</f>
        <v>#VALUE!</v>
      </c>
      <c r="C39" s="75" t="s">
        <v>32</v>
      </c>
      <c r="D39" s="75"/>
      <c r="E39" s="11"/>
      <c r="F39" s="82" t="e">
        <f>IF(D24&gt;B24,"PŘEKROČEN LIMIT",IF(B8&lt;0.2*(B4+B6),(B4+B6)*D24,IF(AND(B8&gt;=0.2*(B4+B6),B8&lt;=0.6*(B4+B6)),(D24-(-519.6*LN(B8)+24732)*0.5*D24/B10*B8/(B4+B6))*(B4+B6),(D24-(-519.6*LN(0.6*(B4+B6))+24732)*0.5*D24/B10*0.6)*(B4+B6))))*2</f>
        <v>#NUM!</v>
      </c>
      <c r="G39" s="83"/>
      <c r="H39" s="83"/>
      <c r="I39" s="11"/>
    </row>
    <row r="40" spans="1:10" ht="21" customHeight="1" x14ac:dyDescent="0.25">
      <c r="A40" s="7"/>
      <c r="B40" s="7"/>
      <c r="C40" s="75" t="s">
        <v>34</v>
      </c>
      <c r="D40" s="75"/>
      <c r="E40" s="11"/>
      <c r="F40" s="82" t="e">
        <f>IF(D16&gt;D26,0.5*F33+D16-D26,0.5*F33)</f>
        <v>#NUM!</v>
      </c>
      <c r="G40" s="83"/>
      <c r="H40" s="83"/>
      <c r="I40" s="11"/>
    </row>
    <row r="41" spans="1:10" ht="21" hidden="1" customHeight="1" x14ac:dyDescent="0.25">
      <c r="A41" s="14"/>
      <c r="B41" s="15"/>
      <c r="C41" s="7"/>
    </row>
    <row r="42" spans="1:10" ht="21" hidden="1" customHeight="1" x14ac:dyDescent="0.25">
      <c r="A42" s="16"/>
      <c r="B42" s="17"/>
      <c r="C42" s="7"/>
    </row>
    <row r="43" spans="1:10" ht="21" hidden="1" customHeight="1" x14ac:dyDescent="0.25">
      <c r="A43" s="16"/>
      <c r="B43" s="17"/>
      <c r="C43" s="7"/>
    </row>
    <row r="44" spans="1:10" hidden="1" x14ac:dyDescent="0.25">
      <c r="A44" s="18"/>
      <c r="B44" s="18"/>
      <c r="C44" s="18"/>
    </row>
    <row r="45" spans="1:10" hidden="1" x14ac:dyDescent="0.25">
      <c r="A45" s="18"/>
      <c r="B45" s="18"/>
      <c r="C45" s="18"/>
    </row>
    <row r="46" spans="1:10" hidden="1" x14ac:dyDescent="0.25">
      <c r="A46" s="18"/>
      <c r="B46" s="18"/>
      <c r="C46" s="18"/>
    </row>
    <row r="47" spans="1:10" hidden="1" x14ac:dyDescent="0.25">
      <c r="A47" s="18"/>
      <c r="B47" s="20"/>
      <c r="C47" s="18"/>
    </row>
    <row r="48" spans="1:10" hidden="1" x14ac:dyDescent="0.25">
      <c r="A48" s="18"/>
      <c r="B48" s="19"/>
      <c r="C48" s="18"/>
    </row>
    <row r="49" spans="1:3" hidden="1" x14ac:dyDescent="0.25">
      <c r="A49" s="18"/>
      <c r="B49" s="19"/>
      <c r="C49" s="18"/>
    </row>
    <row r="50" spans="1:3" hidden="1" x14ac:dyDescent="0.25">
      <c r="A50" s="18"/>
      <c r="B50" s="19"/>
      <c r="C50" s="18"/>
    </row>
    <row r="51" spans="1:3" hidden="1" x14ac:dyDescent="0.25">
      <c r="A51" s="18"/>
      <c r="B51" s="18"/>
      <c r="C51" s="18"/>
    </row>
    <row r="52" spans="1:3" hidden="1" x14ac:dyDescent="0.25">
      <c r="A52" s="18"/>
      <c r="B52" s="18"/>
      <c r="C52" s="18"/>
    </row>
    <row r="53" spans="1:3" hidden="1" x14ac:dyDescent="0.25">
      <c r="A53" s="18"/>
      <c r="B53" s="18"/>
      <c r="C53" s="18"/>
    </row>
    <row r="54" spans="1:3" hidden="1" x14ac:dyDescent="0.25">
      <c r="A54" s="18"/>
      <c r="B54" s="18"/>
      <c r="C54" s="18"/>
    </row>
    <row r="55" spans="1:3" hidden="1" x14ac:dyDescent="0.25">
      <c r="A55" s="18"/>
      <c r="B55" s="18"/>
      <c r="C55" s="18"/>
    </row>
    <row r="56" spans="1:3" hidden="1" x14ac:dyDescent="0.25">
      <c r="A56" s="18"/>
      <c r="B56" s="18"/>
      <c r="C56" s="18"/>
    </row>
    <row r="57" spans="1:3" hidden="1" x14ac:dyDescent="0.25">
      <c r="A57" s="18"/>
      <c r="B57" s="18"/>
      <c r="C57" s="18"/>
    </row>
    <row r="58" spans="1:3" hidden="1" x14ac:dyDescent="0.25">
      <c r="A58" s="18"/>
      <c r="B58" s="18"/>
      <c r="C58" s="18"/>
    </row>
    <row r="59" spans="1:3" hidden="1" x14ac:dyDescent="0.25">
      <c r="A59" s="18"/>
      <c r="B59" s="18"/>
      <c r="C59" s="18"/>
    </row>
    <row r="60" spans="1:3" hidden="1" x14ac:dyDescent="0.25">
      <c r="A60" s="18"/>
      <c r="B60" s="18"/>
      <c r="C60" s="18"/>
    </row>
    <row r="61" spans="1:3" hidden="1" x14ac:dyDescent="0.25">
      <c r="A61" s="18"/>
      <c r="B61" s="18"/>
      <c r="C61" s="18"/>
    </row>
    <row r="62" spans="1:3" hidden="1" x14ac:dyDescent="0.25">
      <c r="A62" s="18"/>
      <c r="B62" s="18"/>
      <c r="C62" s="18"/>
    </row>
    <row r="63" spans="1:3" hidden="1" x14ac:dyDescent="0.25">
      <c r="A63" s="18"/>
      <c r="B63" s="18"/>
      <c r="C63" s="18"/>
    </row>
    <row r="64" spans="1:3" hidden="1" x14ac:dyDescent="0.25">
      <c r="A64" s="18"/>
      <c r="B64" s="18"/>
      <c r="C64" s="18"/>
    </row>
    <row r="65" spans="1:3" hidden="1" x14ac:dyDescent="0.25">
      <c r="A65" s="18"/>
      <c r="B65" s="18"/>
      <c r="C65" s="18"/>
    </row>
    <row r="66" spans="1:3" hidden="1" x14ac:dyDescent="0.25">
      <c r="A66" s="18"/>
      <c r="B66" s="18"/>
      <c r="C66" s="18"/>
    </row>
    <row r="67" spans="1:3" hidden="1" x14ac:dyDescent="0.25">
      <c r="A67" s="18"/>
      <c r="B67" s="18"/>
      <c r="C67" s="18"/>
    </row>
    <row r="68" spans="1:3" hidden="1" x14ac:dyDescent="0.25">
      <c r="A68" s="18"/>
      <c r="B68" s="18"/>
      <c r="C68" s="18"/>
    </row>
  </sheetData>
  <sheetProtection algorithmName="SHA-512" hashValue="fT5EVlhJBtYmk8FSSRlNnnv4xgeghYuoShz7Wys+u4d1v6yY0DjBbyg5sa5C4OjRUOxM+LDtmNSYcgMntU0FnQ==" saltValue="rCRtf0arW52FYUffOC36uA==" spinCount="100000" sheet="1" objects="1" scenarios="1"/>
  <mergeCells count="15">
    <mergeCell ref="A1:K1"/>
    <mergeCell ref="A2:J2"/>
    <mergeCell ref="A29:J29"/>
    <mergeCell ref="F33:I33"/>
    <mergeCell ref="H32:I32"/>
    <mergeCell ref="C31:D31"/>
    <mergeCell ref="F31:I31"/>
    <mergeCell ref="F40:H40"/>
    <mergeCell ref="C33:E33"/>
    <mergeCell ref="C35:E35"/>
    <mergeCell ref="F35:I35"/>
    <mergeCell ref="F30:I30"/>
    <mergeCell ref="F36:H36"/>
    <mergeCell ref="F37:H37"/>
    <mergeCell ref="F39:H3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13</xdr:row>
                    <xdr:rowOff>47625</xdr:rowOff>
                  </from>
                  <to>
                    <xdr:col>1</xdr:col>
                    <xdr:colOff>1295400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19050</xdr:colOff>
                    <xdr:row>15</xdr:row>
                    <xdr:rowOff>28575</xdr:rowOff>
                  </from>
                  <to>
                    <xdr:col>1</xdr:col>
                    <xdr:colOff>1295400</xdr:colOff>
                    <xdr:row>15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104" t="s">
        <v>0</v>
      </c>
      <c r="B1" s="104" t="s">
        <v>1</v>
      </c>
      <c r="C1" s="93"/>
      <c r="D1" t="s">
        <v>4</v>
      </c>
    </row>
    <row r="2" spans="1:4" ht="15.75" thickBot="1" x14ac:dyDescent="0.3">
      <c r="A2" s="105"/>
      <c r="B2" s="1" t="s">
        <v>3</v>
      </c>
      <c r="C2" s="1" t="s">
        <v>2</v>
      </c>
      <c r="D2" s="4">
        <v>0.35</v>
      </c>
    </row>
    <row r="3" spans="1:4" ht="15.75" thickTop="1" x14ac:dyDescent="0.25">
      <c r="A3" s="3">
        <v>1</v>
      </c>
      <c r="B3" s="2">
        <f>(-1092*LN(A3)+28657)*$D$2</f>
        <v>10029.949999999999</v>
      </c>
      <c r="C3" s="2">
        <f>(-814*LN(A3)+25417)*$D$2</f>
        <v>8895.9499999999989</v>
      </c>
      <c r="D3" s="5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104" t="s">
        <v>0</v>
      </c>
      <c r="B1" s="104" t="s">
        <v>1</v>
      </c>
      <c r="C1" s="93"/>
      <c r="D1" t="s">
        <v>4</v>
      </c>
    </row>
    <row r="2" spans="1:4" ht="15.75" thickBot="1" x14ac:dyDescent="0.3">
      <c r="A2" s="105"/>
      <c r="B2" s="1" t="s">
        <v>3</v>
      </c>
      <c r="C2" s="1" t="s">
        <v>2</v>
      </c>
      <c r="D2" s="4">
        <v>0.35</v>
      </c>
    </row>
    <row r="3" spans="1:4" ht="15.75" thickTop="1" x14ac:dyDescent="0.25">
      <c r="A3" s="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 s="3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 s="3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 s="3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 s="3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 s="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 s="3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 s="3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 s="3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 s="3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 s="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 s="3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 s="3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 s="3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 s="3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 s="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 s="3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 s="3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 s="3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 s="3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 s="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 s="3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 s="3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 s="3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 s="3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 s="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 s="3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 s="3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 s="3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 s="3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 s="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 s="3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 s="3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 s="3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 s="3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 s="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 s="3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 s="3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 s="3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 s="3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 s="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 s="3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 s="3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 s="3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 s="3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 s="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 s="3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 s="3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 s="3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 s="3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 s="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 s="3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 s="3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 s="3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 s="3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 s="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 s="3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 s="3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 s="3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 s="3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 s="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 s="3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 s="3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 s="3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 s="3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 s="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 s="3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 s="3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 s="3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 s="3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 s="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 s="3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 s="3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 s="3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 s="3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 s="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 s="3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 s="3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 s="3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 s="3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 s="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 s="3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 s="3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 s="3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 s="3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 s="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 s="3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 s="3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 s="3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 s="3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 s="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 s="3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 s="3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 s="3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 s="3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 s="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 s="3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 s="3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 s="3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 s="3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 s="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 s="3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 s="3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 s="3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 s="3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 s="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 s="3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 s="3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 s="3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 s="3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 s="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 s="3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 s="3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 s="3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 s="3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 s="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 s="3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 s="3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 s="3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 s="3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 s="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 s="3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 s="3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 s="3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 s="3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 s="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 s="3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 s="3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 s="3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 s="3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 s="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 s="3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 s="3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 s="3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 s="3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 s="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 s="3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 s="3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 s="3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 s="3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 s="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 s="3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 s="3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 s="3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 s="3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 s="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 s="3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 s="3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 s="3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 s="3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 s="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 s="3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 s="3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 s="3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 s="3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 s="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 s="3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 s="3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 s="3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 s="3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 s="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 s="3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 s="3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 s="3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 s="3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 s="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 s="3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 s="3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 s="3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 s="3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 s="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 s="3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 s="3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 s="3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 s="3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 s="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 s="3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 s="3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 s="3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 s="3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 s="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 s="3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 s="3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 s="3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 s="3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 s="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 s="3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 s="3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 s="3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 s="3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 s="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 s="3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 s="3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 s="3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 s="3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 s="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 s="3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 s="3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 s="3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 s="3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 s="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 s="3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 s="3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 s="3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 s="3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 s="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 s="3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 s="3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 s="3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 s="3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 s="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 s="3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 s="3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 s="3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 s="3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 s="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 s="3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 s="3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 s="3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 s="3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 s="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 s="3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 s="3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 s="3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 s="3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 s="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 s="3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 s="3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 s="3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 s="3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 s="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 s="3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 s="3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 s="3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 s="3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 s="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 s="3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 s="3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 s="3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 s="3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 s="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 s="3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 s="3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 s="3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 s="3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 s="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 s="3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 s="3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 s="3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 s="3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 s="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 s="3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 s="3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 s="3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 s="3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 s="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 s="3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 s="3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 s="3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 s="3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 s="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 s="3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 s="3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 s="3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 s="3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 s="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 s="3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 s="3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 s="3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 s="3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 s="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 s="3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 s="3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 s="3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 s="3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 s="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 s="3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 s="3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 s="3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 s="3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 s="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 s="3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 s="3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 s="3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 s="3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 s="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 s="3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 s="3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 s="3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 s="3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 s="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 s="3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 s="3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 s="3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 s="3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 s="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 s="3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 s="3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 s="3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 s="3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 s="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 s="3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 s="3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 s="3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 s="3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 s="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 s="3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 s="3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 s="3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 s="3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 s="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 s="3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 s="3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 s="3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 s="3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 s="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 s="3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 s="3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 s="3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 s="3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 s="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 s="3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 s="3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 s="3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 s="3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 s="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 s="3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 s="3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 s="3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 s="3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 s="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 s="3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 s="3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 s="3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 s="3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 s="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 s="3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 s="3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 s="3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 s="3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 s="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 s="3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 s="3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 s="3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 s="3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 s="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 s="3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 s="3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 s="3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 s="3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 s="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 s="3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 s="3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 s="3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 s="3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 s="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 s="3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 s="3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 s="3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 s="3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 s="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 s="3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 s="3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 s="3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 s="3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 s="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 s="3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 s="3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 s="3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 s="3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 s="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 s="3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 s="3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 s="3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 s="3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 s="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 s="3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 s="3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 s="3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 s="3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 s="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 s="3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 s="3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 s="3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 s="3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 s="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 s="3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 s="3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 s="3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 s="3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 s="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 s="3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 s="3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 s="3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 s="3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 s="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 s="3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 s="3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 s="3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 s="3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 s="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 s="3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 s="3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 s="3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 s="3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 s="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 s="3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 s="3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 s="3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 s="3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 s="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 s="3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 s="3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 s="3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 s="3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 s="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 s="3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 s="3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 s="3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 s="3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 s="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 s="3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 s="3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 s="3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 s="3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 s="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 s="3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 s="3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 s="3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 s="3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 s="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 s="3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 s="3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 s="3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 s="3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 s="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 s="3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 s="3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 s="3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 s="3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 s="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 s="3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 s="3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 s="3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 s="3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 s="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 s="3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 s="3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 s="3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 s="3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 s="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 s="3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 s="3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 s="3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 s="3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 s="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 s="3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 s="3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 s="3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 s="3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 s="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 s="3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 s="3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 s="3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 s="3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 s="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 s="3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 s="3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 s="3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 s="3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 s="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 s="3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 s="3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 s="3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 s="3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 s="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 s="3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 s="3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 s="3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 s="3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 s="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 s="3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 s="3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 s="3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 s="3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 s="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 s="3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 s="3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 s="3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 s="3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 s="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 s="3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 s="3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 s="3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 s="3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 s="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A995" s="3"/>
      <c r="B995" s="2"/>
      <c r="C995" s="2"/>
    </row>
    <row r="996" spans="1:3" x14ac:dyDescent="0.25">
      <c r="B996" s="2"/>
      <c r="C996" s="2"/>
    </row>
    <row r="997" spans="1:3" x14ac:dyDescent="0.25">
      <c r="A997" s="3"/>
      <c r="B997" s="2"/>
      <c r="C997" s="2"/>
    </row>
    <row r="998" spans="1:3" x14ac:dyDescent="0.25">
      <c r="B998" s="2"/>
      <c r="C998" s="2"/>
    </row>
    <row r="999" spans="1:3" x14ac:dyDescent="0.25">
      <c r="A999" s="3"/>
      <c r="B999" s="2"/>
      <c r="C999" s="2"/>
    </row>
    <row r="1000" spans="1:3" x14ac:dyDescent="0.25">
      <c r="B1000" s="2"/>
      <c r="C1000" s="2"/>
    </row>
    <row r="1001" spans="1:3" x14ac:dyDescent="0.25">
      <c r="A1001" s="3"/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JednDotMax nad 1 MW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Marcin Ivo</cp:lastModifiedBy>
  <dcterms:created xsi:type="dcterms:W3CDTF">2021-05-12T07:14:30Z</dcterms:created>
  <dcterms:modified xsi:type="dcterms:W3CDTF">2022-07-21T15:51:55Z</dcterms:modified>
</cp:coreProperties>
</file>